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tda\Downloads\"/>
    </mc:Choice>
  </mc:AlternateContent>
  <xr:revisionPtr revIDLastSave="0" documentId="13_ncr:1_{94708703-C2A6-48CF-9B59-6885F33ADF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MISSIONADOS" sheetId="1" r:id="rId1"/>
    <sheet name="QUADRO EFETIVOS" sheetId="2" r:id="rId2"/>
    <sheet name="QUADRO MAGISTÉRIO" sheetId="3" r:id="rId3"/>
    <sheet name="OUTROS QUADRO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E42" i="4"/>
  <c r="M41" i="4"/>
  <c r="N41" i="4" s="1"/>
  <c r="E41" i="4"/>
  <c r="M40" i="4"/>
  <c r="N40" i="4" s="1"/>
  <c r="E40" i="4"/>
  <c r="M39" i="4"/>
  <c r="N39" i="4" s="1"/>
  <c r="E39" i="4"/>
  <c r="M38" i="4"/>
  <c r="N38" i="4" s="1"/>
  <c r="E38" i="4"/>
  <c r="M37" i="4"/>
  <c r="N37" i="4" s="1"/>
  <c r="E37" i="4"/>
  <c r="E36" i="4"/>
  <c r="E35" i="4"/>
  <c r="E33" i="4"/>
  <c r="M32" i="4"/>
  <c r="N32" i="4" s="1"/>
  <c r="M31" i="4"/>
  <c r="N31" i="4" s="1"/>
  <c r="N30" i="4"/>
  <c r="M30" i="4"/>
  <c r="E30" i="4"/>
  <c r="M29" i="4"/>
  <c r="N29" i="4" s="1"/>
  <c r="E29" i="4"/>
  <c r="M28" i="4"/>
  <c r="N28" i="4" s="1"/>
  <c r="M27" i="4"/>
  <c r="N27" i="4" s="1"/>
  <c r="M26" i="4"/>
  <c r="N26" i="4" s="1"/>
  <c r="E26" i="4"/>
  <c r="E24" i="4"/>
  <c r="E23" i="4"/>
  <c r="E21" i="4"/>
  <c r="M20" i="4"/>
  <c r="M19" i="4"/>
  <c r="E19" i="4"/>
  <c r="M18" i="4"/>
  <c r="E18" i="4"/>
  <c r="M17" i="4"/>
  <c r="E17" i="4"/>
  <c r="C10" i="4"/>
  <c r="D10" i="4" s="1"/>
  <c r="E10" i="4" s="1"/>
  <c r="F10" i="4" s="1"/>
  <c r="G10" i="4" s="1"/>
  <c r="H10" i="4" s="1"/>
  <c r="I10" i="4" s="1"/>
  <c r="J10" i="4" s="1"/>
  <c r="K10" i="4" s="1"/>
  <c r="L10" i="4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E15" i="3"/>
  <c r="F15" i="3" s="1"/>
  <c r="G15" i="3" s="1"/>
  <c r="H15" i="3" s="1"/>
  <c r="I15" i="3" s="1"/>
  <c r="J15" i="3" s="1"/>
  <c r="K15" i="3" s="1"/>
  <c r="L15" i="3" s="1"/>
  <c r="D15" i="3"/>
  <c r="C15" i="3"/>
  <c r="C14" i="3"/>
  <c r="D14" i="3" s="1"/>
  <c r="E14" i="3" s="1"/>
  <c r="F14" i="3" s="1"/>
  <c r="G14" i="3" s="1"/>
  <c r="H14" i="3" s="1"/>
  <c r="I14" i="3" s="1"/>
  <c r="J14" i="3" s="1"/>
  <c r="K14" i="3" s="1"/>
  <c r="L14" i="3" s="1"/>
  <c r="C13" i="3"/>
  <c r="D13" i="3" s="1"/>
  <c r="E13" i="3" s="1"/>
  <c r="F13" i="3" s="1"/>
  <c r="G13" i="3" s="1"/>
  <c r="H13" i="3" s="1"/>
  <c r="I13" i="3" s="1"/>
  <c r="J13" i="3" s="1"/>
  <c r="K13" i="3" s="1"/>
  <c r="L13" i="3" s="1"/>
  <c r="C12" i="3"/>
  <c r="D12" i="3" s="1"/>
  <c r="E12" i="3" s="1"/>
  <c r="F12" i="3" s="1"/>
  <c r="G12" i="3" s="1"/>
  <c r="H12" i="3" s="1"/>
  <c r="I12" i="3" s="1"/>
  <c r="J12" i="3" s="1"/>
  <c r="K12" i="3" s="1"/>
  <c r="L12" i="3" s="1"/>
  <c r="C11" i="3"/>
  <c r="D11" i="3" s="1"/>
  <c r="E11" i="3" s="1"/>
  <c r="F11" i="3" s="1"/>
  <c r="G11" i="3" s="1"/>
  <c r="H11" i="3" s="1"/>
  <c r="I11" i="3" s="1"/>
  <c r="J11" i="3" s="1"/>
  <c r="K11" i="3" s="1"/>
  <c r="L11" i="3" s="1"/>
  <c r="C10" i="3"/>
  <c r="D10" i="3" s="1"/>
  <c r="E10" i="3" s="1"/>
  <c r="F10" i="3" s="1"/>
  <c r="G10" i="3" s="1"/>
  <c r="H10" i="3" s="1"/>
  <c r="I10" i="3" s="1"/>
  <c r="J10" i="3" s="1"/>
  <c r="K10" i="3" s="1"/>
  <c r="L10" i="3" s="1"/>
  <c r="G9" i="3"/>
  <c r="H9" i="3" s="1"/>
  <c r="I9" i="3" s="1"/>
  <c r="J9" i="3" s="1"/>
  <c r="K9" i="3" s="1"/>
  <c r="L9" i="3" s="1"/>
  <c r="F9" i="3"/>
  <c r="E9" i="3"/>
  <c r="D9" i="3"/>
  <c r="C9" i="3"/>
  <c r="C8" i="3"/>
  <c r="D8" i="3" s="1"/>
  <c r="E8" i="3" s="1"/>
  <c r="F8" i="3" s="1"/>
  <c r="G8" i="3" s="1"/>
  <c r="H8" i="3" s="1"/>
  <c r="I8" i="3" s="1"/>
  <c r="J8" i="3" s="1"/>
  <c r="K8" i="3" s="1"/>
  <c r="L8" i="3" s="1"/>
  <c r="D115" i="2"/>
  <c r="C115" i="2"/>
  <c r="B115" i="2"/>
  <c r="D110" i="2"/>
  <c r="D109" i="2"/>
  <c r="D108" i="2"/>
  <c r="D107" i="2"/>
  <c r="D106" i="2"/>
  <c r="D105" i="2"/>
  <c r="E99" i="2"/>
  <c r="F99" i="2" s="1"/>
  <c r="G99" i="2" s="1"/>
  <c r="H99" i="2" s="1"/>
  <c r="I99" i="2" s="1"/>
  <c r="J99" i="2" s="1"/>
  <c r="K99" i="2" s="1"/>
  <c r="L99" i="2" s="1"/>
  <c r="D99" i="2"/>
  <c r="C99" i="2"/>
  <c r="C98" i="2"/>
  <c r="D98" i="2" s="1"/>
  <c r="E98" i="2" s="1"/>
  <c r="F98" i="2" s="1"/>
  <c r="G98" i="2" s="1"/>
  <c r="H98" i="2" s="1"/>
  <c r="I98" i="2" s="1"/>
  <c r="J98" i="2" s="1"/>
  <c r="K98" i="2" s="1"/>
  <c r="L98" i="2" s="1"/>
  <c r="I97" i="2"/>
  <c r="J97" i="2" s="1"/>
  <c r="K97" i="2" s="1"/>
  <c r="L97" i="2" s="1"/>
  <c r="C97" i="2"/>
  <c r="D97" i="2" s="1"/>
  <c r="E97" i="2" s="1"/>
  <c r="F97" i="2" s="1"/>
  <c r="G97" i="2" s="1"/>
  <c r="H97" i="2" s="1"/>
  <c r="D95" i="2"/>
  <c r="E95" i="2" s="1"/>
  <c r="F95" i="2" s="1"/>
  <c r="G95" i="2" s="1"/>
  <c r="H95" i="2" s="1"/>
  <c r="I95" i="2" s="1"/>
  <c r="J95" i="2" s="1"/>
  <c r="K95" i="2" s="1"/>
  <c r="L95" i="2" s="1"/>
  <c r="C95" i="2"/>
  <c r="C94" i="2"/>
  <c r="D94" i="2" s="1"/>
  <c r="E94" i="2" s="1"/>
  <c r="F94" i="2" s="1"/>
  <c r="G94" i="2" s="1"/>
  <c r="H94" i="2" s="1"/>
  <c r="I94" i="2" s="1"/>
  <c r="J94" i="2" s="1"/>
  <c r="K94" i="2" s="1"/>
  <c r="L94" i="2" s="1"/>
  <c r="E92" i="2"/>
  <c r="F92" i="2" s="1"/>
  <c r="G92" i="2" s="1"/>
  <c r="H92" i="2" s="1"/>
  <c r="I92" i="2" s="1"/>
  <c r="J92" i="2" s="1"/>
  <c r="K92" i="2" s="1"/>
  <c r="L92" i="2" s="1"/>
  <c r="D92" i="2"/>
  <c r="C92" i="2"/>
  <c r="C91" i="2"/>
  <c r="D91" i="2" s="1"/>
  <c r="E91" i="2" s="1"/>
  <c r="F91" i="2" s="1"/>
  <c r="G91" i="2" s="1"/>
  <c r="H91" i="2" s="1"/>
  <c r="I91" i="2" s="1"/>
  <c r="J91" i="2" s="1"/>
  <c r="K91" i="2" s="1"/>
  <c r="L91" i="2" s="1"/>
  <c r="I90" i="2"/>
  <c r="J90" i="2" s="1"/>
  <c r="K90" i="2" s="1"/>
  <c r="L90" i="2" s="1"/>
  <c r="H90" i="2"/>
  <c r="C90" i="2"/>
  <c r="D90" i="2" s="1"/>
  <c r="E90" i="2" s="1"/>
  <c r="F90" i="2" s="1"/>
  <c r="G90" i="2" s="1"/>
  <c r="C89" i="2"/>
  <c r="D89" i="2" s="1"/>
  <c r="E89" i="2" s="1"/>
  <c r="F89" i="2" s="1"/>
  <c r="G89" i="2" s="1"/>
  <c r="H89" i="2" s="1"/>
  <c r="I89" i="2" s="1"/>
  <c r="J89" i="2" s="1"/>
  <c r="K89" i="2" s="1"/>
  <c r="L89" i="2" s="1"/>
  <c r="D88" i="2"/>
  <c r="E88" i="2" s="1"/>
  <c r="F88" i="2" s="1"/>
  <c r="G88" i="2" s="1"/>
  <c r="H88" i="2" s="1"/>
  <c r="I88" i="2" s="1"/>
  <c r="J88" i="2" s="1"/>
  <c r="K88" i="2" s="1"/>
  <c r="L88" i="2" s="1"/>
  <c r="C88" i="2"/>
  <c r="F86" i="2"/>
  <c r="G86" i="2" s="1"/>
  <c r="H86" i="2" s="1"/>
  <c r="I86" i="2" s="1"/>
  <c r="J86" i="2" s="1"/>
  <c r="K86" i="2" s="1"/>
  <c r="L86" i="2" s="1"/>
  <c r="E86" i="2"/>
  <c r="D86" i="2"/>
  <c r="C86" i="2"/>
  <c r="C85" i="2"/>
  <c r="D85" i="2" s="1"/>
  <c r="E85" i="2" s="1"/>
  <c r="F85" i="2" s="1"/>
  <c r="G85" i="2" s="1"/>
  <c r="H85" i="2" s="1"/>
  <c r="I85" i="2" s="1"/>
  <c r="J85" i="2" s="1"/>
  <c r="K85" i="2" s="1"/>
  <c r="L85" i="2" s="1"/>
  <c r="C73" i="2"/>
  <c r="C71" i="2"/>
  <c r="D71" i="2" s="1"/>
  <c r="E71" i="2" s="1"/>
  <c r="F71" i="2" s="1"/>
  <c r="G71" i="2" s="1"/>
  <c r="H71" i="2" s="1"/>
  <c r="I71" i="2" s="1"/>
  <c r="J71" i="2" s="1"/>
  <c r="K71" i="2" s="1"/>
  <c r="L71" i="2" s="1"/>
  <c r="J70" i="2"/>
  <c r="K70" i="2" s="1"/>
  <c r="L70" i="2" s="1"/>
  <c r="C70" i="2"/>
  <c r="D70" i="2" s="1"/>
  <c r="E70" i="2" s="1"/>
  <c r="F70" i="2" s="1"/>
  <c r="G70" i="2" s="1"/>
  <c r="H70" i="2" s="1"/>
  <c r="I70" i="2" s="1"/>
  <c r="E69" i="2"/>
  <c r="F69" i="2" s="1"/>
  <c r="G69" i="2" s="1"/>
  <c r="H69" i="2" s="1"/>
  <c r="I69" i="2" s="1"/>
  <c r="J69" i="2" s="1"/>
  <c r="K69" i="2" s="1"/>
  <c r="L69" i="2" s="1"/>
  <c r="C69" i="2"/>
  <c r="D69" i="2" s="1"/>
  <c r="C68" i="2"/>
  <c r="D68" i="2" s="1"/>
  <c r="E68" i="2" s="1"/>
  <c r="F68" i="2" s="1"/>
  <c r="G68" i="2" s="1"/>
  <c r="H68" i="2" s="1"/>
  <c r="I68" i="2" s="1"/>
  <c r="J68" i="2" s="1"/>
  <c r="K68" i="2" s="1"/>
  <c r="L68" i="2" s="1"/>
  <c r="C67" i="2"/>
  <c r="D67" i="2" s="1"/>
  <c r="E67" i="2" s="1"/>
  <c r="F67" i="2" s="1"/>
  <c r="G67" i="2" s="1"/>
  <c r="H67" i="2" s="1"/>
  <c r="I67" i="2" s="1"/>
  <c r="J67" i="2" s="1"/>
  <c r="K67" i="2" s="1"/>
  <c r="L67" i="2" s="1"/>
  <c r="C66" i="2"/>
  <c r="D66" i="2" s="1"/>
  <c r="E66" i="2" s="1"/>
  <c r="F66" i="2" s="1"/>
  <c r="G66" i="2" s="1"/>
  <c r="H66" i="2" s="1"/>
  <c r="I66" i="2" s="1"/>
  <c r="J66" i="2" s="1"/>
  <c r="K66" i="2" s="1"/>
  <c r="L66" i="2" s="1"/>
  <c r="C65" i="2"/>
  <c r="D65" i="2" s="1"/>
  <c r="E65" i="2" s="1"/>
  <c r="F65" i="2" s="1"/>
  <c r="G65" i="2" s="1"/>
  <c r="H65" i="2" s="1"/>
  <c r="I65" i="2" s="1"/>
  <c r="J65" i="2" s="1"/>
  <c r="K65" i="2" s="1"/>
  <c r="L65" i="2" s="1"/>
  <c r="C64" i="2"/>
  <c r="D64" i="2" s="1"/>
  <c r="E64" i="2" s="1"/>
  <c r="F64" i="2" s="1"/>
  <c r="G64" i="2" s="1"/>
  <c r="H64" i="2" s="1"/>
  <c r="I64" i="2" s="1"/>
  <c r="J64" i="2" s="1"/>
  <c r="K64" i="2" s="1"/>
  <c r="L64" i="2" s="1"/>
  <c r="E62" i="2"/>
  <c r="F62" i="2" s="1"/>
  <c r="G62" i="2" s="1"/>
  <c r="H62" i="2" s="1"/>
  <c r="I62" i="2" s="1"/>
  <c r="J62" i="2" s="1"/>
  <c r="K62" i="2" s="1"/>
  <c r="L62" i="2" s="1"/>
  <c r="D62" i="2"/>
  <c r="C62" i="2"/>
  <c r="G60" i="2"/>
  <c r="H60" i="2" s="1"/>
  <c r="I60" i="2" s="1"/>
  <c r="J60" i="2" s="1"/>
  <c r="K60" i="2" s="1"/>
  <c r="L60" i="2" s="1"/>
  <c r="C60" i="2"/>
  <c r="D60" i="2" s="1"/>
  <c r="E60" i="2" s="1"/>
  <c r="F60" i="2" s="1"/>
  <c r="C58" i="2"/>
  <c r="D58" i="2" s="1"/>
  <c r="E58" i="2" s="1"/>
  <c r="F58" i="2" s="1"/>
  <c r="G58" i="2" s="1"/>
  <c r="H58" i="2" s="1"/>
  <c r="I58" i="2" s="1"/>
  <c r="J58" i="2" s="1"/>
  <c r="K58" i="2" s="1"/>
  <c r="L58" i="2" s="1"/>
  <c r="C56" i="2"/>
  <c r="D56" i="2" s="1"/>
  <c r="E56" i="2" s="1"/>
  <c r="F56" i="2" s="1"/>
  <c r="G56" i="2" s="1"/>
  <c r="H56" i="2" s="1"/>
  <c r="I56" i="2" s="1"/>
  <c r="J56" i="2" s="1"/>
  <c r="K56" i="2" s="1"/>
  <c r="L56" i="2" s="1"/>
  <c r="C52" i="2"/>
  <c r="D52" i="2" s="1"/>
  <c r="E52" i="2" s="1"/>
  <c r="F52" i="2" s="1"/>
  <c r="G52" i="2" s="1"/>
  <c r="H52" i="2" s="1"/>
  <c r="I52" i="2" s="1"/>
  <c r="J52" i="2" s="1"/>
  <c r="K52" i="2" s="1"/>
  <c r="L52" i="2" s="1"/>
  <c r="C51" i="2"/>
  <c r="D51" i="2" s="1"/>
  <c r="E51" i="2" s="1"/>
  <c r="F51" i="2" s="1"/>
  <c r="G51" i="2" s="1"/>
  <c r="H51" i="2" s="1"/>
  <c r="I51" i="2" s="1"/>
  <c r="J51" i="2" s="1"/>
  <c r="K51" i="2" s="1"/>
  <c r="L51" i="2" s="1"/>
  <c r="F46" i="2"/>
  <c r="G46" i="2" s="1"/>
  <c r="H46" i="2" s="1"/>
  <c r="I46" i="2" s="1"/>
  <c r="J46" i="2" s="1"/>
  <c r="K46" i="2" s="1"/>
  <c r="L46" i="2" s="1"/>
  <c r="E46" i="2"/>
  <c r="D46" i="2"/>
  <c r="C46" i="2"/>
  <c r="C36" i="2"/>
  <c r="O8" i="2" s="1"/>
  <c r="C31" i="2"/>
  <c r="D31" i="2" s="1"/>
  <c r="E31" i="2" s="1"/>
  <c r="F31" i="2" s="1"/>
  <c r="G31" i="2" s="1"/>
  <c r="H31" i="2" s="1"/>
  <c r="I31" i="2" s="1"/>
  <c r="J31" i="2" s="1"/>
  <c r="K31" i="2" s="1"/>
  <c r="L31" i="2" s="1"/>
  <c r="C27" i="2"/>
  <c r="D27" i="2" s="1"/>
  <c r="E27" i="2" s="1"/>
  <c r="F27" i="2" s="1"/>
  <c r="G27" i="2" s="1"/>
  <c r="H27" i="2" s="1"/>
  <c r="I27" i="2" s="1"/>
  <c r="J27" i="2" s="1"/>
  <c r="K27" i="2" s="1"/>
  <c r="L27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C21" i="2"/>
  <c r="D21" i="2" s="1"/>
  <c r="E21" i="2" s="1"/>
  <c r="F21" i="2" s="1"/>
  <c r="G21" i="2" s="1"/>
  <c r="H21" i="2" s="1"/>
  <c r="I21" i="2" s="1"/>
  <c r="J21" i="2" s="1"/>
  <c r="K21" i="2" s="1"/>
  <c r="L21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C15" i="2"/>
  <c r="P10" i="2"/>
  <c r="P11" i="2" s="1"/>
  <c r="O10" i="2"/>
  <c r="N10" i="2"/>
  <c r="C10" i="2"/>
  <c r="D10" i="2" s="1"/>
  <c r="E10" i="2" s="1"/>
  <c r="E15" i="2" s="1"/>
  <c r="P8" i="2"/>
  <c r="N8" i="2"/>
  <c r="H8" i="2"/>
  <c r="I8" i="2" s="1"/>
  <c r="J8" i="2" s="1"/>
  <c r="K8" i="2" s="1"/>
  <c r="L8" i="2" s="1"/>
  <c r="G8" i="2"/>
  <c r="C8" i="2"/>
  <c r="D8" i="2" s="1"/>
  <c r="E8" i="2" s="1"/>
  <c r="F8" i="2" s="1"/>
  <c r="E70" i="1"/>
  <c r="D69" i="1"/>
  <c r="D66" i="1"/>
  <c r="D65" i="1"/>
  <c r="D62" i="1"/>
  <c r="D61" i="1"/>
  <c r="D60" i="1"/>
  <c r="D55" i="1"/>
  <c r="D51" i="1"/>
  <c r="D50" i="1"/>
  <c r="D49" i="1"/>
  <c r="D48" i="1"/>
  <c r="D43" i="1"/>
  <c r="D42" i="1"/>
  <c r="D37" i="1"/>
  <c r="D36" i="1"/>
  <c r="D35" i="1"/>
  <c r="D34" i="1"/>
  <c r="D33" i="1"/>
  <c r="D32" i="1"/>
  <c r="D23" i="1"/>
  <c r="D22" i="1"/>
  <c r="D16" i="1"/>
  <c r="D15" i="1"/>
  <c r="D13" i="1"/>
  <c r="D10" i="1"/>
  <c r="D36" i="2" l="1"/>
  <c r="E36" i="2" s="1"/>
  <c r="F36" i="2" s="1"/>
  <c r="G36" i="2" s="1"/>
  <c r="H36" i="2" s="1"/>
  <c r="I36" i="2" s="1"/>
  <c r="J36" i="2" s="1"/>
  <c r="K36" i="2" s="1"/>
  <c r="L36" i="2" s="1"/>
  <c r="D15" i="2"/>
  <c r="F10" i="2"/>
  <c r="C72" i="2"/>
  <c r="D72" i="2" s="1"/>
  <c r="E72" i="2" s="1"/>
  <c r="F72" i="2" s="1"/>
  <c r="G72" i="2" s="1"/>
  <c r="H72" i="2" s="1"/>
  <c r="I72" i="2" s="1"/>
  <c r="J72" i="2" s="1"/>
  <c r="K72" i="2" s="1"/>
  <c r="L72" i="2" s="1"/>
  <c r="O11" i="2"/>
  <c r="F15" i="2" l="1"/>
  <c r="G10" i="2"/>
  <c r="G15" i="2" l="1"/>
  <c r="H10" i="2"/>
  <c r="I10" i="2" l="1"/>
  <c r="H15" i="2"/>
  <c r="I15" i="2" l="1"/>
  <c r="J10" i="2"/>
  <c r="J15" i="2" l="1"/>
  <c r="K10" i="2"/>
  <c r="K15" i="2" l="1"/>
  <c r="L10" i="2"/>
  <c r="L15" i="2" s="1"/>
</calcChain>
</file>

<file path=xl/sharedStrings.xml><?xml version="1.0" encoding="utf-8"?>
<sst xmlns="http://schemas.openxmlformats.org/spreadsheetml/2006/main" count="374" uniqueCount="261">
  <si>
    <t>PREFEITURA DE JUIZ DE FORA</t>
  </si>
  <si>
    <t>Secretaria de Recursos Humanos</t>
  </si>
  <si>
    <t>SSP / DRPP</t>
  </si>
  <si>
    <t>QUADRO ATIVO - COMISSIONADOS</t>
  </si>
  <si>
    <t>Último reajuste:</t>
  </si>
  <si>
    <t xml:space="preserve">4,83% LEI Nº </t>
  </si>
  <si>
    <t>Versão 1.0 - 03/2025</t>
  </si>
  <si>
    <t>I - DIREÇÃO SUPERIOR, DIREÇÃO EXECUTIVA E ASSESSORAMENTO</t>
  </si>
  <si>
    <t>PADRÃO</t>
  </si>
  <si>
    <t>CARGO</t>
  </si>
  <si>
    <t>VENCIMENTO</t>
  </si>
  <si>
    <t>CONTROLADOR GERAL DO MUNICÍPIO</t>
  </si>
  <si>
    <t>SECRETÁRIO</t>
  </si>
  <si>
    <t>PROCURADOR GERAL DO MUNICÍPIO</t>
  </si>
  <si>
    <t>SECRETÁRIO ADJUNTO</t>
  </si>
  <si>
    <t>PROCURADOR GERAL ADJUNTO</t>
  </si>
  <si>
    <t>DIRETOR - PRESIDENTE (JFPREV) ¹</t>
  </si>
  <si>
    <t>COMANDANTE DA GUARDA MUNICIPAL</t>
  </si>
  <si>
    <t>PRESIDENTE DA COMISSÃO DE LICITAÇÃO</t>
  </si>
  <si>
    <t>SUBSECRETÁRIO</t>
  </si>
  <si>
    <t>SUPERINTENDENTE (PROCON)</t>
  </si>
  <si>
    <t>DIRETOR DO MUSEU MARIANO PROCÓPIO</t>
  </si>
  <si>
    <t>DIRETOR DE GESTÃO PREVIDENCIÁRIA²</t>
  </si>
  <si>
    <t>DIRETOR GERAL HOSPITAL URGÊNCIA E EMERGÊNCIA</t>
  </si>
  <si>
    <t>GERENTE</t>
  </si>
  <si>
    <t>OUVIDOR GERAL DO MUNICÍPIO</t>
  </si>
  <si>
    <t>OUVIDOR (SMS)</t>
  </si>
  <si>
    <t>OUVIDOR DA GUARDA MUNICIPAL</t>
  </si>
  <si>
    <t>CORREGEDOR GERAL DO MUNICÍPIO</t>
  </si>
  <si>
    <t>SUBCOMANDANTE DA GUARDA MUNICIPAL</t>
  </si>
  <si>
    <t>CORREGEDOR DA GUARDA MUNICIPAL</t>
  </si>
  <si>
    <t>SECRETÁRIO EXECUTIVO DO CONSELHO MUNICIPAL DE SAÚDE</t>
  </si>
  <si>
    <t>SECRETÁRIO EXECUTIVO (SMS)</t>
  </si>
  <si>
    <t>ASSESSOR VI</t>
  </si>
  <si>
    <t>ASSESSOR V</t>
  </si>
  <si>
    <t>ASSESSOR IV</t>
  </si>
  <si>
    <t>ASSESSOR III</t>
  </si>
  <si>
    <t>ASSESSOR II</t>
  </si>
  <si>
    <t>Só indiretas</t>
  </si>
  <si>
    <t>ASSESSOR I</t>
  </si>
  <si>
    <t>ANO: 2025 - Mês de janeiro</t>
  </si>
  <si>
    <t>REAJUSTE:</t>
  </si>
  <si>
    <t>III - DIREÇÃO INTERMEDIÁRIA E CHEFIA                                                                                                                                                                III.1 - GRATIFICAÇÕES</t>
  </si>
  <si>
    <t>FUNÇÃO</t>
  </si>
  <si>
    <t>GRATIFICAÇÃO</t>
  </si>
  <si>
    <t>SUPERVISOR II</t>
  </si>
  <si>
    <t>SUPERVISOR I</t>
  </si>
  <si>
    <t>III.2 - VENCIMENTOS</t>
  </si>
  <si>
    <t>GRAT. OPCIONAL</t>
  </si>
  <si>
    <t>DIRETOR ESCOLAR</t>
  </si>
  <si>
    <t xml:space="preserve">VICE-DIRETOR ESCOLAR </t>
  </si>
  <si>
    <t>ENCARREGADO GERAL DE OBRAS I</t>
  </si>
  <si>
    <t>ENCARREGADO GERAL DE OBRAS II</t>
  </si>
  <si>
    <t>CONSELHEIRO TUTELAR</t>
  </si>
  <si>
    <t>LEI n°</t>
  </si>
  <si>
    <t>AGENTE DE CONTRATAÇÃO I</t>
  </si>
  <si>
    <t>AGENTE DE CONTRATAÇÃO II</t>
  </si>
  <si>
    <t>AGENTE DE CONTRATAÇÃO III</t>
  </si>
  <si>
    <t>PREFEITO*</t>
  </si>
  <si>
    <t>VICE-PREFEITO*</t>
  </si>
  <si>
    <t>TETO PARA RECEBIMENTO DO VALE ALIMENTAÇÃO</t>
  </si>
  <si>
    <t>NOVO VALOR DO VALE ALIMENTAÇÃO</t>
  </si>
  <si>
    <t>TABELA SALARIAL - PREFEITURA DE JUIZ DE FORA</t>
  </si>
  <si>
    <r>
      <rPr>
        <b/>
        <sz val="9"/>
        <color rgb="FF000000"/>
        <rFont val="Calibri"/>
      </rPr>
      <t xml:space="preserve">QUADRO ATIVO - EFETIVOS </t>
    </r>
    <r>
      <rPr>
        <sz val="9"/>
        <color rgb="FF000000"/>
        <rFont val="Calibri"/>
      </rPr>
      <t>(Exceto Magistério)</t>
    </r>
  </si>
  <si>
    <t>Versão 1.0 - 04/2024</t>
  </si>
  <si>
    <t>PISO DA ENFERMAGEM 2024</t>
  </si>
  <si>
    <t>CLASSE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</si>
  <si>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</si>
  <si>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</si>
  <si>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</si>
  <si>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</si>
  <si>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</si>
  <si>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</si>
  <si>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</si>
  <si>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</si>
  <si>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</si>
  <si>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</si>
  <si>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TNS</t>
  </si>
  <si>
    <t xml:space="preserve">AUX II </t>
  </si>
  <si>
    <t>AUX I</t>
  </si>
  <si>
    <t>AUXILIAR DE SERVIÇOS</t>
  </si>
  <si>
    <t>AUXILIAR OPERACIONAL</t>
  </si>
  <si>
    <t>AUXILIAR DE SAÚDE</t>
  </si>
  <si>
    <t>AUXILIAR DE ENFERMAGEM</t>
  </si>
  <si>
    <t>AUXILIAR DE LABORATÓRIO</t>
  </si>
  <si>
    <t>AUXILIAR DE RADIOLOGIA</t>
  </si>
  <si>
    <t>AUXILIAR DE ODONTOLOGIA</t>
  </si>
  <si>
    <t>AUXILIAR DE TOPOGRAFIA</t>
  </si>
  <si>
    <t>OFICIAL DE OBRAS I</t>
  </si>
  <si>
    <t>AGENTE DE ATENDIMENTO AO PÚBLICO I</t>
  </si>
  <si>
    <t>ASSISTENTE DE ADMINISTRAÇÃO I</t>
  </si>
  <si>
    <t>OFICIAL DE OBRAS II</t>
  </si>
  <si>
    <t>TOPOGRÁFO</t>
  </si>
  <si>
    <t>ASSISTENTE DE ADMINISTRAÇÃO II</t>
  </si>
  <si>
    <t>AUXILIAR DE BIBLIOTECA</t>
  </si>
  <si>
    <t>ENCARREGADO I</t>
  </si>
  <si>
    <t>MOTORISTA VEICULO LEVE I</t>
  </si>
  <si>
    <t>DIGITADOR (*)</t>
  </si>
  <si>
    <t>ASSISTENTE DE ADMINISTRAÇÃO III</t>
  </si>
  <si>
    <t>ENCARREGADO II</t>
  </si>
  <si>
    <t>MOTORISTA VEICULO LEVE II</t>
  </si>
  <si>
    <t>OFICIAL DE MECÂNICA LEVE I</t>
  </si>
  <si>
    <t>AGENTE DE ATENDIMENTO AO PUBLICO II</t>
  </si>
  <si>
    <t>MOTORISTA VEICULO PESADO I</t>
  </si>
  <si>
    <t>OPERADOR DE MAQUINAS I</t>
  </si>
  <si>
    <t>OFICIAL DE MECÂNICA LEVE II</t>
  </si>
  <si>
    <t>OFICIAL DE MECÂNICA PESADA I</t>
  </si>
  <si>
    <t>FISCAL DE POSTURAS MUNICIPAIS I</t>
  </si>
  <si>
    <t>TÉCNICO DE NÍVEL MÉDIO I</t>
  </si>
  <si>
    <t>ASSISTENTE DE ADMINISTRAÇÃO IV</t>
  </si>
  <si>
    <t>AUXILIAR DE ENFERMAGEM II</t>
  </si>
  <si>
    <t>FISCAL DE POSTURAS MUNICIPAIS II</t>
  </si>
  <si>
    <t>AGENTE DE TRANSPORTE E TRÂNSITO I</t>
  </si>
  <si>
    <t>OPERADOR DE TRÂNSITO</t>
  </si>
  <si>
    <t>AGENTE DE ATENDIMENTO AO PÚBLICO III</t>
  </si>
  <si>
    <t>OPERADOR DE MÁQUINAS II</t>
  </si>
  <si>
    <t>OFICIAL DE MECÂNICA PESADA II</t>
  </si>
  <si>
    <t>MOTORISTA VEICULO PESADO II</t>
  </si>
  <si>
    <t>TÉCNICO DE NÍVEL MÉDIO II</t>
  </si>
  <si>
    <t>AGENTE DE TRANSPORTE E TRÂNSITO II</t>
  </si>
  <si>
    <t>PROGRAMADOR</t>
  </si>
  <si>
    <t>FISCAL DE POSTURAS MUNICIPAIS III</t>
  </si>
  <si>
    <t>ASSISTENTE DE ADMINISTRAÇÃO V</t>
  </si>
  <si>
    <t>GUARDA MUNICIPAL I</t>
  </si>
  <si>
    <t>AGENTE DE TRANSPORTE E TRÂNSITO III</t>
  </si>
  <si>
    <t>ASSISTENTE DE ADMINISTRAÇÃO VI</t>
  </si>
  <si>
    <t>PROGRAMADOR II</t>
  </si>
  <si>
    <t>TÉCNICO DE NÍVEL MÉDIO III</t>
  </si>
  <si>
    <t>PROCURADOR MUNICIPAL I</t>
  </si>
  <si>
    <t>TÉCNICO DE NÍVEL SUPERIOR I</t>
  </si>
  <si>
    <t>PROCURADOR MUNICIPAL II</t>
  </si>
  <si>
    <t>TÉCNICO DE NÍVEL SUPERIOR II</t>
  </si>
  <si>
    <t>PROCURADOR MUNICIPAL III</t>
  </si>
  <si>
    <t>TÉCNICO DE NÍVEL SUPERIOR III</t>
  </si>
  <si>
    <t>AUDITOR FISCAL</t>
  </si>
  <si>
    <t>GUARDA MUNICIPAL II</t>
  </si>
  <si>
    <t>MÉDICO I / CIRURGIÃO-DENTISTA I (4 h) MÉDICO SAÚDE FAM e COMUNIDADE I</t>
  </si>
  <si>
    <t>GUARDA MUNICIPAL III</t>
  </si>
  <si>
    <t>MÉDICO II / CIRURGIÃO-DENTISTA II (4 h) MÉDICO SAÚDE FAM e COMUNIDADE II</t>
  </si>
  <si>
    <t>MÉDICO III / CIRURGIÃO-DENTISTA III(4 h) MÉDICO SAÚDE FAM e COMUNIDADE III</t>
  </si>
  <si>
    <t>MÉDICO I  / CIRURGIÃO-DENTISTA I - 12h30</t>
  </si>
  <si>
    <t>MÉDICO II / CIRURGIÃO-DENTISTA II - 12h30</t>
  </si>
  <si>
    <t>MÉDICO III / CIRURGIÃO-DENTISTA III - 12h30</t>
  </si>
  <si>
    <t>110¹</t>
  </si>
  <si>
    <t>AGENTE DE COMBATE A ENDEMIAS I</t>
  </si>
  <si>
    <t>AGENTE DE COMBATE A ENDEMIAS II</t>
  </si>
  <si>
    <t>87¹</t>
  </si>
  <si>
    <t>AGENTE COMUNITÁRIO DE SAÚDE</t>
  </si>
  <si>
    <t>¹</t>
  </si>
  <si>
    <t>Atualização de acordo com o Salário Mínimo conforme previsto no art. 5º da Lei 14.509/2022</t>
  </si>
  <si>
    <t>DECRETO Nº 12.342, DE 30 DE DEZEMBRO DE 2024 - 1.518,00 - salário mínimo.</t>
  </si>
  <si>
    <t>PL com legislação específica</t>
  </si>
  <si>
    <t>TAC AMAC</t>
  </si>
  <si>
    <t>AJUDANTE OPERACIONAL (QPEE)</t>
  </si>
  <si>
    <t>RECEPCIONISTA (QPEE)</t>
  </si>
  <si>
    <t>ZELADOR / VIGIA (QPEE)</t>
  </si>
  <si>
    <t>OFICIAL DE MANUTENÇÃO I (QPEE)</t>
  </si>
  <si>
    <t>AUXILIAR DE SERVIÇOS GERAIS (QPEE)</t>
  </si>
  <si>
    <t>COZINHEIRO (QPEE)</t>
  </si>
  <si>
    <t>OFICIAL DE MANUTENÇÃO II (QPEE)</t>
  </si>
  <si>
    <t>EDUCADOR SOCIAL (QPEE)</t>
  </si>
  <si>
    <t>MONITOR (QPEE)</t>
  </si>
  <si>
    <t>ASSISTENTE ADMINISTRATIVO I (QPEE)</t>
  </si>
  <si>
    <t>BERÇARISTA (QPEE)</t>
  </si>
  <si>
    <t>RECREADOR (QPEE)</t>
  </si>
  <si>
    <t>TNM - INFORMÁTICA (QPEE)</t>
  </si>
  <si>
    <t>TNM - NUTRIÇÃO E DIETÉTICA (QPEE)</t>
  </si>
  <si>
    <t>TNS - ASSISTENTE SOCIAL (QPEE)</t>
  </si>
  <si>
    <t>TNS - ENGENHEIRO AGRÔNOMO (QPEE)</t>
  </si>
  <si>
    <t>TNS - PEDAGOGO (QPEE)</t>
  </si>
  <si>
    <t>TNS - PSICÓLOGO (QPEE)</t>
  </si>
  <si>
    <t>GPM I</t>
  </si>
  <si>
    <t>GPM II</t>
  </si>
  <si>
    <t>GPM III</t>
  </si>
  <si>
    <t>GPM IV</t>
  </si>
  <si>
    <t>GPM EXTRA I</t>
  </si>
  <si>
    <t>GPM EXTRA II</t>
  </si>
  <si>
    <t>Identificador</t>
  </si>
  <si>
    <t>PPE1 - Diversos</t>
  </si>
  <si>
    <t>PPE2 - Procuradores</t>
  </si>
  <si>
    <t>PPE3 - Auditores Fiscais</t>
  </si>
  <si>
    <t>QUADRO ATIVO - MAGISTÉRIO</t>
  </si>
  <si>
    <t>PR-A</t>
  </si>
  <si>
    <t>PR-B</t>
  </si>
  <si>
    <t>SECRETÁRIO ESCOLAR I</t>
  </si>
  <si>
    <t>SECRETÁRIO ESCOLAR II</t>
  </si>
  <si>
    <t>SECRETÁRIO ESCOLAR III</t>
  </si>
  <si>
    <t>INSTRUTOR DE FORMAÇÃO PROFISSIONAL</t>
  </si>
  <si>
    <t>PR-A (RE)</t>
  </si>
  <si>
    <t>PR-B (RE) / CP (RE)</t>
  </si>
  <si>
    <t>COORDENADOR PEDAGÓGICO (132:00)</t>
  </si>
  <si>
    <t>COORDENADOR PEDAGÓGICO (RE)</t>
  </si>
  <si>
    <t>ADICIONAL POR FORMAÇÃO</t>
  </si>
  <si>
    <t>%</t>
  </si>
  <si>
    <t>ESPECIALIZAÇÃO</t>
  </si>
  <si>
    <t>MESTRADO</t>
  </si>
  <si>
    <t>DOUTORADO</t>
  </si>
  <si>
    <t>OUTROS QUADROS / FUNÇÕES E GRATIFICAÇÕES</t>
  </si>
  <si>
    <t>MAPRO</t>
  </si>
  <si>
    <t>ASSISTENTE OPERACIONAL</t>
  </si>
  <si>
    <t>GUIA DE MUSEU</t>
  </si>
  <si>
    <t>Ano: 2025</t>
  </si>
  <si>
    <t>Mês: Janeiro</t>
  </si>
  <si>
    <t>Reajuste:</t>
  </si>
  <si>
    <t>1,0483</t>
  </si>
  <si>
    <t>CONTRATAÇÕES - PROGRAMAS ESPECÍFICOS</t>
  </si>
  <si>
    <t>C. HOR.</t>
  </si>
  <si>
    <t>SALÁRIO</t>
  </si>
  <si>
    <t>REAJUSTE 4,83%</t>
  </si>
  <si>
    <t>AGENTE DE DESENV. SOCIAL</t>
  </si>
  <si>
    <t>40 h/sem.</t>
  </si>
  <si>
    <t>INSTRUTOR DESPORTIVO - ED. FÍSICA</t>
  </si>
  <si>
    <t>60 h/sem.</t>
  </si>
  <si>
    <t>AGENTE DE PROMOÇÃO SOCIAL</t>
  </si>
  <si>
    <t>MONITOR CULTURAL - CAPOEIRA</t>
  </si>
  <si>
    <t>ANALISTA TÉCNICO</t>
  </si>
  <si>
    <t>MONITOR CULTURAL - DANÇA DE RUA</t>
  </si>
  <si>
    <t>ASSISTENTE DE COMPRAS</t>
  </si>
  <si>
    <t>AGENTE SOCIAL</t>
  </si>
  <si>
    <t>ASSISTENTE CONTÁBIL</t>
  </si>
  <si>
    <t>ASSISTENTE DE LOGISTICA</t>
  </si>
  <si>
    <t>AUXILIAR LOGISTICO</t>
  </si>
  <si>
    <t>CANTINEIRO</t>
  </si>
  <si>
    <t>30 h/sem.</t>
  </si>
  <si>
    <t>TAC - LOGÍSTICA</t>
  </si>
  <si>
    <t>MONITOR DE Q. P. ARCO OCUPAC.</t>
  </si>
  <si>
    <t>SALÁRIO 4,62%</t>
  </si>
  <si>
    <t>COORDENADOR DE NÚCLEO</t>
  </si>
  <si>
    <t>AUXILIAR DE OP. LOGISTICA JR.</t>
  </si>
  <si>
    <t>COORD. LOCAL</t>
  </si>
  <si>
    <t>AUXILIAR DE OP. LOGISTICA PL.</t>
  </si>
  <si>
    <t>COORD. ESP. PEDAGOG.</t>
  </si>
  <si>
    <t>AUXILIAR DE OP. LOGISTICA SR.</t>
  </si>
  <si>
    <t>COORDENADOR SETORIAL</t>
  </si>
  <si>
    <t>20 h/sem.</t>
  </si>
  <si>
    <t>LIDER DE OP. LOGISTICA JR.</t>
  </si>
  <si>
    <t>DINAMISADOR SOCIAL</t>
  </si>
  <si>
    <t>SUPERVISOR DE OP. LOGISTICA JR.</t>
  </si>
  <si>
    <t>PROMOTOR DE EVENTOS</t>
  </si>
  <si>
    <t>GERENTE DE OP. LOGISTICA JR.</t>
  </si>
  <si>
    <t>SUPERVISÃO PEDAGÓGICA</t>
  </si>
  <si>
    <t>ANALISTA DE OP. LOGISTICA JR.</t>
  </si>
  <si>
    <t>EDUC. DE ÁREA ESPEC. (ENS. FUND.)</t>
  </si>
  <si>
    <t>Ano: 2024</t>
  </si>
  <si>
    <t>EDUC. QUAL. PROF.-ARCO OCUPAC.</t>
  </si>
  <si>
    <t>EDUCADORES DE P. CIDADÃ</t>
  </si>
  <si>
    <t>MONITOR DE A. COMPLEMENTARES</t>
  </si>
  <si>
    <t>10 h/sem.</t>
  </si>
  <si>
    <t>Gratificação 4,62%</t>
  </si>
  <si>
    <t>MONITOR DE A. ESPORTIVAS</t>
  </si>
  <si>
    <t>PREPARADOR DE DADOS</t>
  </si>
  <si>
    <t>DIRETOR DE DIVISÃO</t>
  </si>
  <si>
    <t>SUPERVISOR DE CAMPO</t>
  </si>
  <si>
    <t>CHEFE DE SEÇÃO</t>
  </si>
  <si>
    <t>ASSISTENTE DE CAMPO</t>
  </si>
  <si>
    <t>CHEFE DE SERVIÇO</t>
  </si>
  <si>
    <t>EDUCADOR SOCIAL</t>
  </si>
  <si>
    <t>SUPERVISÃO</t>
  </si>
  <si>
    <t>COORDENADOR LOCAL</t>
  </si>
  <si>
    <t>EDUCADOR A. A. DE CRIANÇAS</t>
  </si>
  <si>
    <t>Último reajuste em Novembro/2011 - 1,00%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</si>
</sst>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R$ -416]#,##0.00"/>
  </numFmts>
  <fonts count="21">
    <font>
      <sz val="10"/>
      <color rgb="FF000000"/>
      <name val="Arial"/>
      <scheme val="minor"/>
    </font>
    <font>
      <sz val="10"/>
      <color theme="1"/>
      <name val="Calibri"/>
    </font>
    <font>
      <b/>
      <sz val="10"/>
      <color theme="1"/>
      <name val="Calibri"/>
    </font>
    <font>
      <sz val="10"/>
      <name val="Arial"/>
    </font>
    <font>
      <i/>
      <sz val="10"/>
      <color theme="1"/>
      <name val="Calibri"/>
    </font>
    <font>
      <sz val="9"/>
      <color rgb="FF242424"/>
      <name val="Calibri"/>
    </font>
    <font>
      <b/>
      <sz val="9"/>
      <color rgb="FF000000"/>
      <name val="Calibri"/>
    </font>
    <font>
      <sz val="9"/>
      <color rgb="FF000000"/>
      <name val="Calibri"/>
    </font>
    <font>
      <i/>
      <sz val="9"/>
      <color rgb="FF000000"/>
      <name val="Calibri"/>
    </font>
    <font>
      <sz val="10"/>
      <color rgb="FF242424"/>
      <name val="Calibri"/>
    </font>
    <font>
      <b/>
      <sz val="10"/>
      <color rgb="FF242424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rgb="FFB7B7B7"/>
      <name val="Calibri"/>
    </font>
    <font>
      <sz val="9"/>
      <color theme="1"/>
      <name val="Docs-Calibri"/>
    </font>
    <font>
      <b/>
      <sz val="12"/>
      <color theme="1"/>
      <name val="Calibri"/>
    </font>
    <font>
      <sz val="9"/>
      <color theme="1"/>
      <name val="Calibri"/>
    </font>
    <font>
      <sz val="10"/>
      <color rgb="FFFFFFFF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9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F5F5F5"/>
        <bgColor rgb="FFF5F5F5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E3E3E3"/>
      </right>
      <top/>
      <bottom style="thin">
        <color rgb="FFE3E3E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>
      <alignment vertical="center"/>
    </xf>
    <xf numFmtId="10" fontId="1" fillId="2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0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vertical="center"/>
    </xf>
    <xf numFmtId="0" fontId="5" fillId="5" borderId="9" xfId="0" applyFont="1" applyFill="1" applyBorder="1" applyAlignment="1">
      <alignment horizontal="left" wrapText="1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9" fontId="1" fillId="0" borderId="4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0" fontId="7" fillId="2" borderId="4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10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165" fontId="7" fillId="0" borderId="1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5" fontId="6" fillId="6" borderId="10" xfId="0" applyNumberFormat="1" applyFont="1" applyFill="1" applyBorder="1" applyAlignment="1">
      <alignment horizontal="right" vertical="center"/>
    </xf>
    <xf numFmtId="165" fontId="6" fillId="6" borderId="10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65" fontId="7" fillId="7" borderId="10" xfId="0" applyNumberFormat="1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 wrapText="1"/>
    </xf>
    <xf numFmtId="16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165" fontId="6" fillId="4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10" fontId="6" fillId="8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 wrapText="1"/>
    </xf>
    <xf numFmtId="4" fontId="9" fillId="5" borderId="10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vertical="center" wrapText="1"/>
    </xf>
    <xf numFmtId="4" fontId="9" fillId="9" borderId="10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165" fontId="11" fillId="5" borderId="10" xfId="0" applyNumberFormat="1" applyFont="1" applyFill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/>
    </xf>
    <xf numFmtId="165" fontId="11" fillId="5" borderId="10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12" fillId="2" borderId="13" xfId="0" applyFont="1" applyFill="1" applyBorder="1" applyAlignment="1"/>
    <xf numFmtId="0" fontId="12" fillId="2" borderId="4" xfId="0" applyFont="1" applyFill="1" applyBorder="1" applyAlignment="1"/>
    <xf numFmtId="10" fontId="12" fillId="2" borderId="4" xfId="0" applyNumberFormat="1" applyFont="1" applyFill="1" applyBorder="1" applyAlignment="1"/>
    <xf numFmtId="0" fontId="12" fillId="2" borderId="5" xfId="0" applyFont="1" applyFill="1" applyBorder="1" applyAlignment="1"/>
    <xf numFmtId="0" fontId="1" fillId="3" borderId="13" xfId="0" applyFont="1" applyFill="1" applyBorder="1" applyAlignment="1">
      <alignment horizontal="right"/>
    </xf>
    <xf numFmtId="0" fontId="12" fillId="3" borderId="4" xfId="0" applyFont="1" applyFill="1" applyBorder="1" applyAlignment="1"/>
    <xf numFmtId="10" fontId="1" fillId="3" borderId="4" xfId="0" applyNumberFormat="1" applyFont="1" applyFill="1" applyBorder="1" applyAlignment="1">
      <alignment horizontal="right"/>
    </xf>
    <xf numFmtId="0" fontId="13" fillId="3" borderId="4" xfId="0" applyFont="1" applyFill="1" applyBorder="1" applyAlignment="1">
      <alignment horizontal="right"/>
    </xf>
    <xf numFmtId="0" fontId="14" fillId="3" borderId="0" xfId="0" applyFont="1" applyFill="1" applyAlignment="1"/>
    <xf numFmtId="0" fontId="4" fillId="3" borderId="4" xfId="0" applyFont="1" applyFill="1" applyBorder="1" applyAlignment="1">
      <alignment horizontal="right"/>
    </xf>
    <xf numFmtId="0" fontId="12" fillId="3" borderId="5" xfId="0" applyFont="1" applyFill="1" applyBorder="1" applyAlignment="1"/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/>
    <xf numFmtId="4" fontId="1" fillId="0" borderId="5" xfId="0" applyNumberFormat="1" applyFont="1" applyBorder="1" applyAlignment="1">
      <alignment horizontal="center"/>
    </xf>
    <xf numFmtId="2" fontId="12" fillId="0" borderId="0" xfId="0" applyNumberFormat="1" applyFont="1" applyAlignment="1"/>
    <xf numFmtId="0" fontId="1" fillId="7" borderId="14" xfId="0" applyFont="1" applyFill="1" applyBorder="1" applyAlignment="1">
      <alignment horizontal="center"/>
    </xf>
    <xf numFmtId="0" fontId="1" fillId="7" borderId="5" xfId="0" applyFont="1" applyFill="1" applyBorder="1" applyAlignment="1"/>
    <xf numFmtId="4" fontId="1" fillId="7" borderId="5" xfId="0" applyNumberFormat="1" applyFont="1" applyFill="1" applyBorder="1" applyAlignment="1">
      <alignment horizontal="center"/>
    </xf>
    <xf numFmtId="0" fontId="12" fillId="0" borderId="4" xfId="0" applyFont="1" applyBorder="1" applyAlignment="1"/>
    <xf numFmtId="0" fontId="12" fillId="0" borderId="1" xfId="0" applyFont="1" applyBorder="1" applyAlignment="1"/>
    <xf numFmtId="9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49" fontId="17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0" fillId="0" borderId="0" xfId="0" applyFont="1" applyAlignment="1"/>
    <xf numFmtId="0" fontId="3" fillId="0" borderId="4" xfId="0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0" fontId="1" fillId="0" borderId="6" xfId="0" applyNumberFormat="1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2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7" fillId="7" borderId="15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165" fontId="7" fillId="0" borderId="15" xfId="0" applyNumberFormat="1" applyFont="1" applyBorder="1" applyAlignment="1">
      <alignment horizontal="center" vertical="center"/>
    </xf>
    <xf numFmtId="0" fontId="3" fillId="0" borderId="16" xfId="0" applyFont="1" applyBorder="1"/>
    <xf numFmtId="0" fontId="7" fillId="7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7" borderId="1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5" fontId="1" fillId="4" borderId="15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8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3"/>
  <sheetViews>
    <sheetView tabSelected="1" workbookViewId="0"/>
  </sheetViews>
  <sheetFormatPr defaultColWidth="12.6328125" defaultRowHeight="15.75" customHeight="1"/>
  <cols>
    <col min="2" max="2" width="16.453125" customWidth="1"/>
    <col min="3" max="3" width="48.08984375" bestFit="1" customWidth="1"/>
    <col min="5" max="5" width="16.90625" bestFit="1" customWidth="1"/>
    <col min="9" max="9" width="21" customWidth="1"/>
    <col min="10" max="10" width="21.36328125" customWidth="1"/>
  </cols>
  <sheetData>
    <row r="1" spans="1:11" ht="15.75" customHeight="1">
      <c r="A1" s="1"/>
      <c r="B1" s="136" t="s">
        <v>0</v>
      </c>
      <c r="C1" s="137"/>
      <c r="D1" s="137"/>
      <c r="E1" s="138"/>
      <c r="F1" s="2"/>
      <c r="G1" s="2"/>
      <c r="H1" s="2"/>
      <c r="I1" s="2"/>
      <c r="J1" s="2"/>
      <c r="K1" s="2"/>
    </row>
    <row r="2" spans="1:11" ht="15.75" customHeight="1">
      <c r="A2" s="1"/>
      <c r="B2" s="139" t="s">
        <v>1</v>
      </c>
      <c r="C2" s="134"/>
      <c r="D2" s="134"/>
      <c r="E2" s="133"/>
      <c r="F2" s="2"/>
      <c r="G2" s="2"/>
      <c r="H2" s="2"/>
      <c r="I2" s="2"/>
      <c r="J2" s="2"/>
      <c r="K2" s="2"/>
    </row>
    <row r="3" spans="1:11" ht="15.75" customHeight="1">
      <c r="A3" s="1"/>
      <c r="B3" s="140" t="s">
        <v>2</v>
      </c>
      <c r="C3" s="135"/>
      <c r="D3" s="135"/>
      <c r="E3" s="131"/>
      <c r="F3" s="2"/>
      <c r="G3" s="2"/>
      <c r="H3" s="2"/>
      <c r="I3" s="2"/>
      <c r="J3" s="2"/>
      <c r="K3" s="2"/>
    </row>
    <row r="4" spans="1:11" ht="15.75" customHeight="1">
      <c r="A4" s="1"/>
      <c r="B4" s="3"/>
      <c r="C4" s="3"/>
      <c r="D4" s="3"/>
      <c r="E4" s="4"/>
      <c r="F4" s="2"/>
      <c r="G4" s="2"/>
      <c r="H4" s="2"/>
      <c r="I4" s="2"/>
      <c r="J4" s="2"/>
      <c r="K4" s="2"/>
    </row>
    <row r="5" spans="1:11" ht="15.75" customHeight="1">
      <c r="A5" s="1"/>
      <c r="B5" s="130" t="s">
        <v>3</v>
      </c>
      <c r="C5" s="135"/>
      <c r="D5" s="135"/>
      <c r="E5" s="131"/>
      <c r="F5" s="2"/>
      <c r="G5" s="2"/>
      <c r="H5" s="2"/>
      <c r="I5" s="2"/>
      <c r="J5" s="2"/>
      <c r="K5" s="2"/>
    </row>
    <row r="6" spans="1:11" ht="15.75" customHeight="1">
      <c r="A6" s="1"/>
      <c r="B6" s="5" t="s">
        <v>4</v>
      </c>
      <c r="C6" s="6" t="s">
        <v>5</v>
      </c>
      <c r="D6" s="7"/>
      <c r="E6" s="8" t="s">
        <v>6</v>
      </c>
      <c r="F6" s="2"/>
      <c r="G6" s="2"/>
      <c r="H6" s="2"/>
      <c r="I6" s="2"/>
      <c r="J6" s="2"/>
      <c r="K6" s="2"/>
    </row>
    <row r="7" spans="1:11" ht="15.75" customHeight="1">
      <c r="A7" s="2"/>
      <c r="B7" s="141">
        <v>1.0483</v>
      </c>
      <c r="C7" s="142"/>
      <c r="D7" s="142"/>
      <c r="E7" s="143"/>
      <c r="F7" s="2"/>
      <c r="G7" s="2"/>
      <c r="H7" s="2"/>
      <c r="I7" s="2"/>
      <c r="J7" s="2"/>
      <c r="K7" s="2"/>
    </row>
    <row r="8" spans="1:11" ht="15.75" customHeight="1">
      <c r="A8" s="1"/>
      <c r="B8" s="144" t="s">
        <v>7</v>
      </c>
      <c r="C8" s="135"/>
      <c r="D8" s="135"/>
      <c r="E8" s="131"/>
      <c r="F8" s="2"/>
      <c r="G8" s="2"/>
      <c r="H8" s="2"/>
      <c r="I8" s="2"/>
      <c r="J8" s="2"/>
      <c r="K8" s="2"/>
    </row>
    <row r="9" spans="1:11" ht="15.75" customHeight="1">
      <c r="A9" s="1"/>
      <c r="B9" s="10" t="s">
        <v>8</v>
      </c>
      <c r="C9" s="10" t="s">
        <v>9</v>
      </c>
      <c r="D9" s="130" t="s">
        <v>10</v>
      </c>
      <c r="E9" s="131"/>
      <c r="F9" s="2"/>
      <c r="G9" s="2"/>
      <c r="H9" s="2"/>
      <c r="I9" s="2"/>
      <c r="J9" s="2"/>
      <c r="K9" s="2"/>
    </row>
    <row r="10" spans="1:11" ht="15.75" customHeight="1">
      <c r="A10" s="1"/>
      <c r="B10" s="145">
        <v>854</v>
      </c>
      <c r="C10" s="11" t="s">
        <v>11</v>
      </c>
      <c r="D10" s="132">
        <f>20400.28*B7</f>
        <v>21385.613524</v>
      </c>
      <c r="E10" s="133"/>
      <c r="F10" s="2"/>
      <c r="G10" s="2"/>
      <c r="H10" s="2"/>
      <c r="I10" s="2"/>
      <c r="J10" s="2"/>
      <c r="K10" s="2"/>
    </row>
    <row r="11" spans="1:11" ht="15.75" customHeight="1">
      <c r="A11" s="1"/>
      <c r="B11" s="133"/>
      <c r="C11" s="12" t="s">
        <v>12</v>
      </c>
      <c r="D11" s="134"/>
      <c r="E11" s="133"/>
      <c r="F11" s="2"/>
      <c r="G11" s="2"/>
      <c r="H11" s="2"/>
      <c r="I11" s="2"/>
      <c r="J11" s="2"/>
      <c r="K11" s="2"/>
    </row>
    <row r="12" spans="1:11" ht="15.75" customHeight="1">
      <c r="A12" s="1"/>
      <c r="B12" s="131"/>
      <c r="C12" s="12" t="s">
        <v>13</v>
      </c>
      <c r="D12" s="135"/>
      <c r="E12" s="131"/>
      <c r="F12" s="2"/>
      <c r="G12" s="2"/>
      <c r="H12" s="2"/>
      <c r="I12" s="2"/>
      <c r="J12" s="2"/>
      <c r="K12" s="2"/>
    </row>
    <row r="13" spans="1:11" ht="15.75" customHeight="1">
      <c r="A13" s="1"/>
      <c r="B13" s="145">
        <v>99</v>
      </c>
      <c r="C13" s="11" t="s">
        <v>14</v>
      </c>
      <c r="D13" s="132">
        <f>18923.41*B7</f>
        <v>19837.410703000001</v>
      </c>
      <c r="E13" s="133"/>
      <c r="F13" s="2"/>
      <c r="G13" s="2"/>
      <c r="H13" s="2"/>
      <c r="I13" s="2"/>
      <c r="J13" s="2"/>
      <c r="K13" s="2"/>
    </row>
    <row r="14" spans="1:11" ht="15.75" customHeight="1">
      <c r="A14" s="1"/>
      <c r="B14" s="131"/>
      <c r="C14" s="11" t="s">
        <v>15</v>
      </c>
      <c r="D14" s="135"/>
      <c r="E14" s="131"/>
      <c r="F14" s="2"/>
      <c r="G14" s="2"/>
      <c r="H14" s="2"/>
      <c r="I14" s="2"/>
      <c r="J14" s="2"/>
      <c r="K14" s="2"/>
    </row>
    <row r="15" spans="1:11" ht="15.75" customHeight="1">
      <c r="A15" s="1"/>
      <c r="B15" s="145">
        <v>45</v>
      </c>
      <c r="C15" s="11" t="s">
        <v>16</v>
      </c>
      <c r="D15" s="147">
        <f>20400.28*B7</f>
        <v>21385.613524</v>
      </c>
      <c r="E15" s="131"/>
      <c r="F15" s="2"/>
      <c r="G15" s="2"/>
      <c r="H15" s="2"/>
      <c r="I15" s="2"/>
      <c r="J15" s="2"/>
      <c r="K15" s="2"/>
    </row>
    <row r="16" spans="1:11" ht="15.75" customHeight="1">
      <c r="A16" s="1"/>
      <c r="B16" s="133"/>
      <c r="C16" s="11" t="s">
        <v>17</v>
      </c>
      <c r="D16" s="132">
        <f>15085.33*B7</f>
        <v>15813.951439</v>
      </c>
      <c r="E16" s="133"/>
      <c r="F16" s="2"/>
      <c r="G16" s="2"/>
      <c r="H16" s="2"/>
      <c r="I16" s="2"/>
      <c r="J16" s="2"/>
      <c r="K16" s="2"/>
    </row>
    <row r="17" spans="1:11" ht="15.75" customHeight="1">
      <c r="A17" s="1"/>
      <c r="B17" s="133"/>
      <c r="C17" s="11" t="s">
        <v>18</v>
      </c>
      <c r="D17" s="134"/>
      <c r="E17" s="133"/>
      <c r="F17" s="2"/>
      <c r="G17" s="2"/>
      <c r="H17" s="2"/>
      <c r="I17" s="2"/>
      <c r="J17" s="2"/>
      <c r="K17" s="2"/>
    </row>
    <row r="18" spans="1:11" ht="15.75" customHeight="1">
      <c r="A18" s="1"/>
      <c r="B18" s="133"/>
      <c r="C18" s="11" t="s">
        <v>19</v>
      </c>
      <c r="D18" s="134"/>
      <c r="E18" s="133"/>
      <c r="F18" s="2"/>
      <c r="G18" s="2"/>
      <c r="H18" s="2"/>
      <c r="I18" s="2"/>
      <c r="J18" s="2"/>
      <c r="K18" s="2"/>
    </row>
    <row r="19" spans="1:11" ht="15.75" customHeight="1">
      <c r="A19" s="1"/>
      <c r="B19" s="133"/>
      <c r="C19" s="11" t="s">
        <v>20</v>
      </c>
      <c r="D19" s="134"/>
      <c r="E19" s="133"/>
      <c r="F19" s="2"/>
      <c r="G19" s="2"/>
      <c r="H19" s="2"/>
      <c r="I19" s="2"/>
      <c r="J19" s="2"/>
      <c r="K19" s="2"/>
    </row>
    <row r="20" spans="1:11" ht="15.75" customHeight="1">
      <c r="A20" s="1"/>
      <c r="B20" s="131"/>
      <c r="C20" s="11" t="s">
        <v>21</v>
      </c>
      <c r="D20" s="134"/>
      <c r="E20" s="133"/>
      <c r="F20" s="2"/>
      <c r="G20" s="2"/>
      <c r="H20" s="2"/>
      <c r="I20" s="2"/>
      <c r="J20" s="2"/>
      <c r="K20" s="2"/>
    </row>
    <row r="21" spans="1:11" ht="13">
      <c r="A21" s="1"/>
      <c r="B21" s="145">
        <v>80</v>
      </c>
      <c r="C21" s="11" t="s">
        <v>22</v>
      </c>
      <c r="D21" s="135"/>
      <c r="E21" s="131"/>
      <c r="F21" s="2"/>
      <c r="G21" s="2"/>
      <c r="H21" s="2"/>
      <c r="I21" s="2"/>
      <c r="J21" s="2"/>
      <c r="K21" s="2"/>
    </row>
    <row r="22" spans="1:11" ht="13">
      <c r="A22" s="1"/>
      <c r="B22" s="131"/>
      <c r="C22" s="12" t="s">
        <v>23</v>
      </c>
      <c r="D22" s="146">
        <f>13566.2*B7</f>
        <v>14221.447460000001</v>
      </c>
      <c r="E22" s="143"/>
      <c r="F22" s="2"/>
      <c r="G22" s="2"/>
      <c r="H22" s="2"/>
      <c r="I22" s="2"/>
      <c r="J22" s="2"/>
      <c r="K22" s="2"/>
    </row>
    <row r="23" spans="1:11" ht="13">
      <c r="A23" s="1"/>
      <c r="B23" s="145">
        <v>30</v>
      </c>
      <c r="C23" s="12" t="s">
        <v>24</v>
      </c>
      <c r="D23" s="132">
        <f>8247.45*B7</f>
        <v>8645.8018350000002</v>
      </c>
      <c r="E23" s="133"/>
      <c r="F23" s="2"/>
      <c r="G23" s="2"/>
      <c r="H23" s="2"/>
      <c r="I23" s="2"/>
      <c r="J23" s="2"/>
      <c r="K23" s="2"/>
    </row>
    <row r="24" spans="1:11" ht="13">
      <c r="A24" s="1"/>
      <c r="B24" s="133"/>
      <c r="C24" s="12" t="s">
        <v>25</v>
      </c>
      <c r="D24" s="134"/>
      <c r="E24" s="133"/>
      <c r="F24" s="2"/>
      <c r="G24" s="2"/>
      <c r="H24" s="2"/>
      <c r="I24" s="2"/>
      <c r="J24" s="2"/>
      <c r="K24" s="2"/>
    </row>
    <row r="25" spans="1:11" ht="13">
      <c r="A25" s="1"/>
      <c r="B25" s="133"/>
      <c r="C25" s="12" t="s">
        <v>26</v>
      </c>
      <c r="D25" s="134"/>
      <c r="E25" s="133"/>
      <c r="F25" s="2"/>
      <c r="G25" s="2"/>
      <c r="H25" s="2"/>
      <c r="I25" s="2"/>
      <c r="J25" s="2"/>
      <c r="K25" s="2"/>
    </row>
    <row r="26" spans="1:11" ht="13">
      <c r="A26" s="1"/>
      <c r="B26" s="133"/>
      <c r="C26" s="12" t="s">
        <v>27</v>
      </c>
      <c r="D26" s="134"/>
      <c r="E26" s="133"/>
      <c r="F26" s="2"/>
      <c r="G26" s="2"/>
      <c r="H26" s="2"/>
      <c r="I26" s="2"/>
      <c r="J26" s="2"/>
      <c r="K26" s="2"/>
    </row>
    <row r="27" spans="1:11" ht="13">
      <c r="A27" s="1"/>
      <c r="B27" s="133"/>
      <c r="C27" s="12" t="s">
        <v>28</v>
      </c>
      <c r="D27" s="134"/>
      <c r="E27" s="133"/>
      <c r="F27" s="2"/>
      <c r="G27" s="2"/>
      <c r="H27" s="2"/>
      <c r="I27" s="2"/>
      <c r="J27" s="2"/>
      <c r="K27" s="2"/>
    </row>
    <row r="28" spans="1:11" ht="13">
      <c r="A28" s="1"/>
      <c r="B28" s="133"/>
      <c r="C28" s="12" t="s">
        <v>29</v>
      </c>
      <c r="D28" s="134"/>
      <c r="E28" s="133"/>
      <c r="F28" s="2"/>
      <c r="G28" s="2"/>
      <c r="H28" s="2"/>
      <c r="I28" s="2"/>
      <c r="J28" s="2"/>
      <c r="K28" s="2"/>
    </row>
    <row r="29" spans="1:11" ht="13">
      <c r="A29" s="1"/>
      <c r="B29" s="133"/>
      <c r="C29" s="12" t="s">
        <v>30</v>
      </c>
      <c r="D29" s="134"/>
      <c r="E29" s="133"/>
      <c r="F29" s="2"/>
      <c r="G29" s="2"/>
      <c r="H29" s="2"/>
      <c r="I29" s="2"/>
      <c r="J29" s="2"/>
      <c r="K29" s="2"/>
    </row>
    <row r="30" spans="1:11" ht="13">
      <c r="A30" s="1"/>
      <c r="B30" s="133"/>
      <c r="C30" s="12" t="s">
        <v>31</v>
      </c>
      <c r="D30" s="134"/>
      <c r="E30" s="133"/>
      <c r="F30" s="2"/>
      <c r="G30" s="2"/>
      <c r="H30" s="2"/>
      <c r="I30" s="2"/>
      <c r="J30" s="2"/>
      <c r="K30" s="2"/>
    </row>
    <row r="31" spans="1:11" ht="13">
      <c r="A31" s="1"/>
      <c r="B31" s="131"/>
      <c r="C31" s="12" t="s">
        <v>32</v>
      </c>
      <c r="D31" s="135"/>
      <c r="E31" s="131"/>
      <c r="F31" s="2"/>
      <c r="G31" s="2"/>
      <c r="H31" s="2"/>
      <c r="I31" s="2"/>
      <c r="J31" s="2"/>
      <c r="K31" s="2"/>
    </row>
    <row r="32" spans="1:11" ht="13">
      <c r="A32" s="1"/>
      <c r="B32" s="13">
        <v>118</v>
      </c>
      <c r="C32" s="12" t="s">
        <v>33</v>
      </c>
      <c r="D32" s="147">
        <f>10083.24*B7</f>
        <v>10570.260491999999</v>
      </c>
      <c r="E32" s="131"/>
      <c r="F32" s="2"/>
      <c r="G32" s="2"/>
      <c r="H32" s="2"/>
      <c r="I32" s="2"/>
      <c r="J32" s="2"/>
      <c r="K32" s="2"/>
    </row>
    <row r="33" spans="1:11" ht="13">
      <c r="A33" s="1"/>
      <c r="B33" s="13">
        <v>119</v>
      </c>
      <c r="C33" s="12" t="s">
        <v>34</v>
      </c>
      <c r="D33" s="147">
        <f>7434.14*B7</f>
        <v>7793.2089620000006</v>
      </c>
      <c r="E33" s="131"/>
      <c r="F33" s="2"/>
      <c r="G33" s="2"/>
      <c r="H33" s="2"/>
      <c r="I33" s="2"/>
      <c r="J33" s="2"/>
      <c r="K33" s="2"/>
    </row>
    <row r="34" spans="1:11" ht="13">
      <c r="A34" s="1"/>
      <c r="B34" s="13">
        <v>120</v>
      </c>
      <c r="C34" s="12" t="s">
        <v>35</v>
      </c>
      <c r="D34" s="147">
        <f>4563.12*B7</f>
        <v>4783.5186960000001</v>
      </c>
      <c r="E34" s="131"/>
      <c r="F34" s="2"/>
      <c r="G34" s="2"/>
      <c r="H34" s="2"/>
      <c r="I34" s="2"/>
      <c r="J34" s="2"/>
      <c r="K34" s="2"/>
    </row>
    <row r="35" spans="1:11" ht="13">
      <c r="A35" s="1"/>
      <c r="B35" s="13">
        <v>121</v>
      </c>
      <c r="C35" s="12" t="s">
        <v>36</v>
      </c>
      <c r="D35" s="147">
        <f>3342.59*B7</f>
        <v>3504.0370970000004</v>
      </c>
      <c r="E35" s="131"/>
      <c r="F35" s="2"/>
      <c r="G35" s="2"/>
      <c r="H35" s="2"/>
      <c r="I35" s="2"/>
      <c r="J35" s="2"/>
      <c r="K35" s="2"/>
    </row>
    <row r="36" spans="1:11" ht="13">
      <c r="A36" s="1"/>
      <c r="B36" s="14">
        <v>122</v>
      </c>
      <c r="C36" s="15" t="s">
        <v>37</v>
      </c>
      <c r="D36" s="148">
        <f>2565.91*B7</f>
        <v>2689.843453</v>
      </c>
      <c r="E36" s="131"/>
      <c r="F36" s="16" t="s">
        <v>38</v>
      </c>
      <c r="G36" s="2"/>
      <c r="H36" s="2"/>
      <c r="I36" s="2"/>
      <c r="J36" s="2"/>
      <c r="K36" s="2"/>
    </row>
    <row r="37" spans="1:11" ht="13">
      <c r="A37" s="1"/>
      <c r="B37" s="14">
        <v>123</v>
      </c>
      <c r="C37" s="15" t="s">
        <v>39</v>
      </c>
      <c r="D37" s="148">
        <f>1803.06*B7</f>
        <v>1890.147798</v>
      </c>
      <c r="E37" s="131"/>
      <c r="F37" s="16" t="s">
        <v>38</v>
      </c>
      <c r="G37" s="2"/>
      <c r="H37" s="2"/>
      <c r="I37" s="2"/>
      <c r="J37" s="2"/>
      <c r="K37" s="2"/>
    </row>
    <row r="38" spans="1:11" ht="13">
      <c r="A38" s="2"/>
      <c r="B38" s="2"/>
      <c r="C38" s="17" t="s">
        <v>40</v>
      </c>
      <c r="D38" s="18" t="s">
        <v>41</v>
      </c>
      <c r="E38" s="19">
        <v>1.0483</v>
      </c>
      <c r="F38" s="2"/>
      <c r="G38" s="2"/>
      <c r="H38" s="2"/>
      <c r="I38" s="2"/>
      <c r="J38" s="2"/>
      <c r="K38" s="2"/>
    </row>
    <row r="39" spans="1:11" ht="13">
      <c r="A39" s="2"/>
      <c r="B39" s="2"/>
      <c r="C39" s="2"/>
      <c r="D39" s="2"/>
      <c r="E39" s="20"/>
      <c r="F39" s="2"/>
      <c r="G39" s="2"/>
      <c r="H39" s="2"/>
      <c r="I39" s="2"/>
      <c r="J39" s="2"/>
      <c r="K39" s="2"/>
    </row>
    <row r="40" spans="1:11" ht="13">
      <c r="A40" s="2"/>
      <c r="B40" s="149" t="s">
        <v>42</v>
      </c>
      <c r="C40" s="135"/>
      <c r="D40" s="135"/>
      <c r="E40" s="135"/>
      <c r="F40" s="2"/>
      <c r="G40" s="2"/>
      <c r="H40" s="2"/>
      <c r="I40" s="2"/>
      <c r="J40" s="2"/>
      <c r="K40" s="2"/>
    </row>
    <row r="41" spans="1:11" ht="13">
      <c r="A41" s="1"/>
      <c r="B41" s="130" t="s">
        <v>43</v>
      </c>
      <c r="C41" s="131"/>
      <c r="D41" s="150" t="s">
        <v>44</v>
      </c>
      <c r="E41" s="131"/>
      <c r="F41" s="2"/>
      <c r="K41" s="21"/>
    </row>
    <row r="42" spans="1:11" ht="13">
      <c r="A42" s="1"/>
      <c r="B42" s="151" t="s">
        <v>45</v>
      </c>
      <c r="C42" s="131"/>
      <c r="D42" s="147">
        <f>1612.19*E38</f>
        <v>1690.058777</v>
      </c>
      <c r="E42" s="131"/>
      <c r="F42" s="2"/>
      <c r="K42" s="2"/>
    </row>
    <row r="43" spans="1:11" ht="13">
      <c r="A43" s="1"/>
      <c r="B43" s="151" t="s">
        <v>46</v>
      </c>
      <c r="C43" s="131"/>
      <c r="D43" s="147">
        <f>1167.15*E38</f>
        <v>1223.5233450000001</v>
      </c>
      <c r="E43" s="131"/>
      <c r="F43" s="2"/>
      <c r="K43" s="2"/>
    </row>
    <row r="44" spans="1:11" ht="13">
      <c r="A44" s="2"/>
      <c r="B44" s="2"/>
      <c r="C44" s="17" t="s">
        <v>40</v>
      </c>
      <c r="D44" s="18" t="s">
        <v>41</v>
      </c>
      <c r="E44" s="19">
        <v>1.0483</v>
      </c>
      <c r="F44" s="2"/>
      <c r="K44" s="2"/>
    </row>
    <row r="45" spans="1:11" ht="13">
      <c r="A45" s="2"/>
      <c r="B45" s="2"/>
      <c r="C45" s="2"/>
      <c r="D45" s="2"/>
      <c r="E45" s="20"/>
      <c r="F45" s="2"/>
      <c r="G45" s="2"/>
      <c r="H45" s="2"/>
      <c r="I45" s="2"/>
      <c r="J45" s="2"/>
      <c r="K45" s="2"/>
    </row>
    <row r="46" spans="1:11" ht="13">
      <c r="A46" s="2"/>
      <c r="B46" s="144" t="s">
        <v>47</v>
      </c>
      <c r="C46" s="135"/>
      <c r="D46" s="135"/>
      <c r="E46" s="135"/>
      <c r="F46" s="2"/>
      <c r="G46" s="2"/>
      <c r="H46" s="2"/>
      <c r="I46" s="2"/>
      <c r="J46" s="2"/>
      <c r="K46" s="2"/>
    </row>
    <row r="47" spans="1:11" ht="13">
      <c r="A47" s="1"/>
      <c r="B47" s="10" t="s">
        <v>8</v>
      </c>
      <c r="C47" s="23" t="s">
        <v>43</v>
      </c>
      <c r="D47" s="24" t="s">
        <v>10</v>
      </c>
      <c r="E47" s="25" t="s">
        <v>48</v>
      </c>
      <c r="F47" s="2"/>
      <c r="G47" s="2"/>
      <c r="H47" s="2"/>
      <c r="I47" s="2"/>
      <c r="J47" s="2"/>
      <c r="K47" s="2"/>
    </row>
    <row r="48" spans="1:11" ht="13">
      <c r="A48" s="1"/>
      <c r="B48" s="14">
        <v>26</v>
      </c>
      <c r="C48" s="15" t="s">
        <v>49</v>
      </c>
      <c r="D48" s="26">
        <f>7283.86*E52</f>
        <v>7635.6704380000001</v>
      </c>
      <c r="E48" s="27">
        <v>0.4</v>
      </c>
      <c r="F48" s="2"/>
      <c r="G48" s="2"/>
      <c r="H48" s="2"/>
      <c r="I48" s="2"/>
      <c r="J48" s="2"/>
      <c r="K48" s="2"/>
    </row>
    <row r="49" spans="1:11" ht="13">
      <c r="A49" s="1"/>
      <c r="B49" s="14">
        <v>27</v>
      </c>
      <c r="C49" s="15" t="s">
        <v>50</v>
      </c>
      <c r="D49" s="26">
        <f>6511.19*E52</f>
        <v>6825.6804769999999</v>
      </c>
      <c r="E49" s="27">
        <v>0.25</v>
      </c>
      <c r="F49" s="2"/>
      <c r="G49" s="2"/>
      <c r="H49" s="2"/>
      <c r="I49" s="2"/>
      <c r="J49" s="2"/>
      <c r="K49" s="2"/>
    </row>
    <row r="50" spans="1:11" ht="13">
      <c r="A50" s="1"/>
      <c r="B50" s="13">
        <v>38</v>
      </c>
      <c r="C50" s="12" t="s">
        <v>51</v>
      </c>
      <c r="D50" s="28">
        <f>2714.37*E52</f>
        <v>2845.4740710000001</v>
      </c>
      <c r="E50" s="29"/>
      <c r="F50" s="2"/>
      <c r="G50" s="2"/>
      <c r="H50" s="2"/>
      <c r="I50" s="2"/>
      <c r="J50" s="2"/>
      <c r="K50" s="2"/>
    </row>
    <row r="51" spans="1:11" ht="13">
      <c r="A51" s="1"/>
      <c r="B51" s="13">
        <v>37</v>
      </c>
      <c r="C51" s="30" t="s">
        <v>52</v>
      </c>
      <c r="D51" s="28">
        <f>3534.08*E52</f>
        <v>3704.7760640000001</v>
      </c>
      <c r="E51" s="29"/>
      <c r="F51" s="2"/>
      <c r="G51" s="2"/>
      <c r="H51" s="2"/>
      <c r="I51" s="2"/>
      <c r="J51" s="2"/>
      <c r="K51" s="2"/>
    </row>
    <row r="52" spans="1:11" ht="13">
      <c r="A52" s="2"/>
      <c r="B52" s="2"/>
      <c r="C52" s="17" t="s">
        <v>40</v>
      </c>
      <c r="D52" s="18" t="s">
        <v>41</v>
      </c>
      <c r="E52" s="19">
        <v>1.0483</v>
      </c>
      <c r="F52" s="2"/>
      <c r="G52" s="2"/>
      <c r="H52" s="2"/>
      <c r="I52" s="2"/>
      <c r="J52" s="2"/>
      <c r="K52" s="2"/>
    </row>
    <row r="53" spans="1:11" ht="13">
      <c r="A53" s="2"/>
      <c r="B53" s="22"/>
      <c r="C53" s="22"/>
      <c r="D53" s="31"/>
      <c r="E53" s="32"/>
      <c r="F53" s="2"/>
      <c r="G53" s="2"/>
      <c r="H53" s="2"/>
      <c r="I53" s="2"/>
      <c r="J53" s="2"/>
      <c r="K53" s="2"/>
    </row>
    <row r="54" spans="1:11" ht="13">
      <c r="A54" s="1"/>
      <c r="B54" s="10" t="s">
        <v>8</v>
      </c>
      <c r="C54" s="23" t="s">
        <v>43</v>
      </c>
      <c r="D54" s="130" t="s">
        <v>10</v>
      </c>
      <c r="E54" s="131"/>
      <c r="F54" s="2"/>
      <c r="G54" s="2"/>
      <c r="H54" s="2"/>
      <c r="I54" s="2"/>
      <c r="J54" s="2"/>
      <c r="K54" s="2"/>
    </row>
    <row r="55" spans="1:11" ht="13">
      <c r="A55" s="1"/>
      <c r="B55" s="13">
        <v>43</v>
      </c>
      <c r="C55" s="12" t="s">
        <v>53</v>
      </c>
      <c r="D55" s="147">
        <f>4563.12*E56</f>
        <v>4783.5186960000001</v>
      </c>
      <c r="E55" s="131"/>
      <c r="F55" s="2"/>
      <c r="G55" s="2"/>
      <c r="H55" s="2"/>
      <c r="I55" s="2"/>
      <c r="J55" s="2"/>
      <c r="K55" s="2"/>
    </row>
    <row r="56" spans="1:11" ht="13">
      <c r="A56" s="2"/>
      <c r="B56" s="2"/>
      <c r="C56" s="17" t="s">
        <v>40</v>
      </c>
      <c r="D56" s="18" t="s">
        <v>41</v>
      </c>
      <c r="E56" s="19">
        <v>1.0483</v>
      </c>
      <c r="F56" s="2"/>
      <c r="G56" s="2"/>
      <c r="H56" s="2"/>
      <c r="I56" s="2"/>
      <c r="J56" s="2"/>
      <c r="K56" s="2"/>
    </row>
    <row r="57" spans="1:11" ht="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3">
      <c r="A58" s="2"/>
      <c r="B58" s="9" t="s">
        <v>54</v>
      </c>
      <c r="C58" s="22"/>
      <c r="D58" s="22"/>
      <c r="E58" s="22"/>
      <c r="F58" s="2"/>
      <c r="G58" s="2"/>
      <c r="H58" s="2"/>
      <c r="I58" s="2"/>
      <c r="J58" s="2"/>
      <c r="K58" s="2"/>
    </row>
    <row r="59" spans="1:11" ht="13">
      <c r="A59" s="1"/>
      <c r="B59" s="10" t="s">
        <v>8</v>
      </c>
      <c r="C59" s="23" t="s">
        <v>43</v>
      </c>
      <c r="D59" s="130" t="s">
        <v>10</v>
      </c>
      <c r="E59" s="131"/>
      <c r="F59" s="2"/>
      <c r="G59" s="2"/>
      <c r="H59" s="2"/>
      <c r="I59" s="2"/>
      <c r="J59" s="2"/>
      <c r="K59" s="2"/>
    </row>
    <row r="60" spans="1:11" ht="13">
      <c r="A60" s="1"/>
      <c r="B60" s="13">
        <v>878</v>
      </c>
      <c r="C60" s="12" t="s">
        <v>55</v>
      </c>
      <c r="D60" s="147">
        <f>5019.43*E63</f>
        <v>5261.868469</v>
      </c>
      <c r="E60" s="131"/>
      <c r="F60" s="2"/>
      <c r="G60" s="2"/>
      <c r="H60" s="2"/>
      <c r="I60" s="2"/>
      <c r="J60" s="2"/>
      <c r="K60" s="2"/>
    </row>
    <row r="61" spans="1:11" ht="13">
      <c r="A61" s="1"/>
      <c r="B61" s="13">
        <v>879</v>
      </c>
      <c r="C61" s="12" t="s">
        <v>56</v>
      </c>
      <c r="D61" s="147">
        <f>6215.91*E63</f>
        <v>6516.1384529999996</v>
      </c>
      <c r="E61" s="131"/>
      <c r="F61" s="2"/>
      <c r="G61" s="2"/>
      <c r="H61" s="2"/>
      <c r="I61" s="2"/>
      <c r="J61" s="2"/>
      <c r="K61" s="2"/>
    </row>
    <row r="62" spans="1:11" ht="13">
      <c r="A62" s="1"/>
      <c r="B62" s="13">
        <v>880</v>
      </c>
      <c r="C62" s="12" t="s">
        <v>57</v>
      </c>
      <c r="D62" s="147">
        <f>10133.39*E63</f>
        <v>10622.832736999999</v>
      </c>
      <c r="E62" s="131"/>
      <c r="F62" s="2"/>
      <c r="G62" s="2"/>
      <c r="H62" s="2"/>
      <c r="I62" s="2"/>
      <c r="J62" s="2"/>
      <c r="K62" s="2"/>
    </row>
    <row r="63" spans="1:11" ht="13">
      <c r="A63" s="2"/>
      <c r="B63" s="2"/>
      <c r="C63" s="17" t="s">
        <v>40</v>
      </c>
      <c r="D63" s="18" t="s">
        <v>41</v>
      </c>
      <c r="E63" s="19">
        <v>1.0483</v>
      </c>
      <c r="F63" s="2"/>
      <c r="G63" s="2"/>
      <c r="H63" s="2"/>
      <c r="I63" s="2"/>
      <c r="J63" s="2"/>
      <c r="K63" s="2"/>
    </row>
    <row r="64" spans="1:11" ht="13">
      <c r="A64" s="2"/>
      <c r="B64" s="22"/>
      <c r="C64" s="22"/>
      <c r="D64" s="22"/>
      <c r="E64" s="22"/>
      <c r="F64" s="2"/>
      <c r="G64" s="2"/>
      <c r="H64" s="2"/>
      <c r="I64" s="2"/>
      <c r="J64" s="2"/>
      <c r="K64" s="2"/>
    </row>
    <row r="65" spans="1:11" ht="13">
      <c r="A65" s="1"/>
      <c r="B65" s="151" t="s">
        <v>58</v>
      </c>
      <c r="C65" s="131"/>
      <c r="D65" s="147">
        <f>27200.35*E67</f>
        <v>28514.126904999997</v>
      </c>
      <c r="E65" s="131"/>
      <c r="F65" s="2"/>
      <c r="G65" s="2"/>
      <c r="H65" s="2"/>
      <c r="I65" s="2"/>
      <c r="J65" s="2"/>
      <c r="K65" s="2"/>
    </row>
    <row r="66" spans="1:11" ht="13">
      <c r="A66" s="1"/>
      <c r="B66" s="151" t="s">
        <v>59</v>
      </c>
      <c r="C66" s="131"/>
      <c r="D66" s="147">
        <f>21757.4*E67</f>
        <v>22808.282420000003</v>
      </c>
      <c r="E66" s="131"/>
      <c r="F66" s="2"/>
      <c r="G66" s="2"/>
      <c r="H66" s="2"/>
      <c r="I66" s="2"/>
      <c r="J66" s="2"/>
      <c r="K66" s="2"/>
    </row>
    <row r="67" spans="1:11" ht="13">
      <c r="A67" s="2"/>
      <c r="B67" s="2"/>
      <c r="C67" s="17" t="s">
        <v>40</v>
      </c>
      <c r="D67" s="18" t="s">
        <v>41</v>
      </c>
      <c r="E67" s="19">
        <v>1.0483</v>
      </c>
      <c r="F67" s="2"/>
      <c r="G67" s="2"/>
      <c r="H67" s="2"/>
      <c r="I67" s="2"/>
      <c r="J67" s="2"/>
      <c r="K67" s="2"/>
    </row>
    <row r="68" spans="1:11" ht="13">
      <c r="A68" s="2"/>
      <c r="B68" s="22"/>
      <c r="C68" s="22"/>
      <c r="D68" s="22"/>
      <c r="E68" s="22"/>
      <c r="F68" s="2"/>
      <c r="G68" s="2"/>
      <c r="H68" s="2"/>
      <c r="I68" s="2"/>
      <c r="J68" s="2"/>
      <c r="K68" s="2"/>
    </row>
    <row r="69" spans="1:11" ht="13">
      <c r="A69" s="1"/>
      <c r="B69" s="144" t="s">
        <v>60</v>
      </c>
      <c r="C69" s="131"/>
      <c r="D69" s="147">
        <f>5050*E67</f>
        <v>5293.915</v>
      </c>
      <c r="E69" s="131"/>
      <c r="F69" s="2"/>
      <c r="G69" s="2"/>
      <c r="H69" s="2"/>
      <c r="I69" s="2"/>
      <c r="J69" s="2"/>
      <c r="K69" s="2"/>
    </row>
    <row r="70" spans="1:11" ht="13">
      <c r="A70" s="2"/>
      <c r="B70" s="152" t="s">
        <v>61</v>
      </c>
      <c r="C70" s="143"/>
      <c r="D70" s="33">
        <v>500</v>
      </c>
      <c r="E70" s="34">
        <f>D70*E67</f>
        <v>524.15</v>
      </c>
      <c r="F70" s="2"/>
      <c r="G70" s="2"/>
      <c r="H70" s="2"/>
      <c r="I70" s="2"/>
      <c r="J70" s="2"/>
      <c r="K70" s="2"/>
    </row>
    <row r="71" spans="1:11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</sheetData>
  <mergeCells count="45">
    <mergeCell ref="B69:C69"/>
    <mergeCell ref="D69:E69"/>
    <mergeCell ref="B70:C70"/>
    <mergeCell ref="D43:E43"/>
    <mergeCell ref="D54:E54"/>
    <mergeCell ref="D55:E55"/>
    <mergeCell ref="D59:E59"/>
    <mergeCell ref="D60:E60"/>
    <mergeCell ref="D61:E61"/>
    <mergeCell ref="D62:E62"/>
    <mergeCell ref="B43:C43"/>
    <mergeCell ref="B46:E46"/>
    <mergeCell ref="B65:C65"/>
    <mergeCell ref="D65:E65"/>
    <mergeCell ref="B66:C66"/>
    <mergeCell ref="D66:E66"/>
    <mergeCell ref="B40:E40"/>
    <mergeCell ref="B41:C41"/>
    <mergeCell ref="D41:E41"/>
    <mergeCell ref="B42:C42"/>
    <mergeCell ref="D42:E42"/>
    <mergeCell ref="D35:E35"/>
    <mergeCell ref="D36:E36"/>
    <mergeCell ref="D37:E37"/>
    <mergeCell ref="B13:B14"/>
    <mergeCell ref="D13:E14"/>
    <mergeCell ref="B15:B20"/>
    <mergeCell ref="D15:E15"/>
    <mergeCell ref="D16:E21"/>
    <mergeCell ref="B21:B22"/>
    <mergeCell ref="B23:B31"/>
    <mergeCell ref="D22:E22"/>
    <mergeCell ref="D23:E31"/>
    <mergeCell ref="D32:E32"/>
    <mergeCell ref="D33:E33"/>
    <mergeCell ref="D34:E34"/>
    <mergeCell ref="D9:E9"/>
    <mergeCell ref="D10:E12"/>
    <mergeCell ref="B1:E1"/>
    <mergeCell ref="B2:E2"/>
    <mergeCell ref="B3:E3"/>
    <mergeCell ref="B5:E5"/>
    <mergeCell ref="B7:E7"/>
    <mergeCell ref="B8:E8"/>
    <mergeCell ref="B10:B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ySplit="7" topLeftCell="A8" activePane="bottomLeft" state="frozen"/>
      <selection pane="bottomLeft" activeCell="B9" sqref="B9"/>
    </sheetView>
  </sheetViews>
  <sheetFormatPr defaultColWidth="12.6328125" defaultRowHeight="15.75" customHeight="1"/>
  <cols>
    <col min="2" max="2" width="64.90625" customWidth="1"/>
  </cols>
  <sheetData>
    <row r="1" spans="1:26" ht="15.75" customHeight="1">
      <c r="A1" s="153" t="s">
        <v>62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.75" customHeight="1">
      <c r="A2" s="15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3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.75" customHeight="1">
      <c r="A3" s="15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1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.75" customHeight="1">
      <c r="A4" s="36"/>
      <c r="B4" s="37"/>
      <c r="C4" s="37"/>
      <c r="D4" s="38"/>
      <c r="E4" s="37"/>
      <c r="F4" s="37"/>
      <c r="G4" s="37"/>
      <c r="H4" s="37"/>
      <c r="I4" s="37"/>
      <c r="J4" s="37"/>
      <c r="K4" s="37"/>
      <c r="L4" s="39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.75" customHeight="1">
      <c r="A5" s="156" t="s">
        <v>63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1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.75" customHeight="1">
      <c r="A6" s="157" t="s">
        <v>4</v>
      </c>
      <c r="B6" s="135"/>
      <c r="C6" s="40"/>
      <c r="D6" s="41">
        <v>1.0483</v>
      </c>
      <c r="E6" s="42"/>
      <c r="F6" s="43"/>
      <c r="G6" s="43"/>
      <c r="H6" s="43"/>
      <c r="I6" s="43"/>
      <c r="J6" s="43"/>
      <c r="K6" s="158" t="s">
        <v>64</v>
      </c>
      <c r="L6" s="131"/>
      <c r="M6" s="35"/>
      <c r="N6" s="159" t="s">
        <v>65</v>
      </c>
      <c r="O6" s="142"/>
      <c r="P6" s="143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.75" customHeight="1">
      <c r="A7" s="44" t="s">
        <v>8</v>
      </c>
      <c r="B7" s="45" t="s">
        <v>66</v>
      </c>
      <c r="C7" s="45" t="s">
        <v>67</v>
      </c>
      <c r="D7" s="45" t="s">
        <v>68</v>
      </c>
      <c r="E7" s="45" t="s">
        <v>69</v>
      </c>
      <c r="F7" s="45" t="s">
        <v>70</v>
      </c>
      <c r="G7" s="45" t="s">
        <v>71</v>
      </c>
      <c r="H7" s="45" t="s">
        <v>72</v>
      </c>
      <c r="I7" s="45" t="s">
        <v>73</v>
      </c>
      <c r="J7" s="45" t="s">
        <v>74</v>
      </c>
      <c r="K7" s="45" t="s">
        <v>75</v>
      </c>
      <c r="L7" s="45" t="s">
        <v>76</v>
      </c>
      <c r="M7" s="35"/>
      <c r="N7" s="46" t="s">
        <v>77</v>
      </c>
      <c r="O7" s="46" t="s">
        <v>78</v>
      </c>
      <c r="P7" s="46" t="s">
        <v>79</v>
      </c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5.75" customHeight="1">
      <c r="A8" s="164">
        <v>4</v>
      </c>
      <c r="B8" s="47" t="s">
        <v>80</v>
      </c>
      <c r="C8" s="160">
        <f>1429.48*D6</f>
        <v>1498.523884</v>
      </c>
      <c r="D8" s="160">
        <f t="shared" ref="D8:L8" si="0">C8*1.1</f>
        <v>1648.3762724000001</v>
      </c>
      <c r="E8" s="160">
        <f t="shared" si="0"/>
        <v>1813.2138996400001</v>
      </c>
      <c r="F8" s="160">
        <f t="shared" si="0"/>
        <v>1994.5352896040004</v>
      </c>
      <c r="G8" s="160">
        <f t="shared" si="0"/>
        <v>2193.9888185644004</v>
      </c>
      <c r="H8" s="160">
        <f t="shared" si="0"/>
        <v>2413.3877004208407</v>
      </c>
      <c r="I8" s="160">
        <f t="shared" si="0"/>
        <v>2654.7264704629251</v>
      </c>
      <c r="J8" s="160">
        <f t="shared" si="0"/>
        <v>2920.199117509218</v>
      </c>
      <c r="K8" s="160">
        <f t="shared" si="0"/>
        <v>3212.2190292601399</v>
      </c>
      <c r="L8" s="160">
        <f t="shared" si="0"/>
        <v>3533.440932186154</v>
      </c>
      <c r="M8" s="35"/>
      <c r="N8" s="48">
        <f>C56</f>
        <v>4351.2207419999995</v>
      </c>
      <c r="O8" s="48">
        <f>C36</f>
        <v>2568.3454830000001</v>
      </c>
      <c r="P8" s="48">
        <f>C10</f>
        <v>1513.9653430000001</v>
      </c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5.75" customHeight="1">
      <c r="A9" s="161"/>
      <c r="B9" s="47" t="s">
        <v>81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35"/>
      <c r="N9" s="48">
        <v>4750</v>
      </c>
      <c r="O9" s="48">
        <v>3325</v>
      </c>
      <c r="P9" s="48">
        <v>2375</v>
      </c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.75" customHeight="1">
      <c r="A10" s="165">
        <v>5</v>
      </c>
      <c r="B10" s="49" t="s">
        <v>82</v>
      </c>
      <c r="C10" s="162">
        <f>1444.21*D6</f>
        <v>1513.9653430000001</v>
      </c>
      <c r="D10" s="162">
        <f t="shared" ref="D10:L10" si="1">C10*1.1</f>
        <v>1665.3618773000003</v>
      </c>
      <c r="E10" s="162">
        <f t="shared" si="1"/>
        <v>1831.8980650300005</v>
      </c>
      <c r="F10" s="162">
        <f t="shared" si="1"/>
        <v>2015.0878715330007</v>
      </c>
      <c r="G10" s="162">
        <f t="shared" si="1"/>
        <v>2216.596658686301</v>
      </c>
      <c r="H10" s="162">
        <f t="shared" si="1"/>
        <v>2438.2563245549313</v>
      </c>
      <c r="I10" s="162">
        <f t="shared" si="1"/>
        <v>2682.0819570104245</v>
      </c>
      <c r="J10" s="162">
        <f t="shared" si="1"/>
        <v>2950.2901527114673</v>
      </c>
      <c r="K10" s="162">
        <f t="shared" si="1"/>
        <v>3245.3191679826141</v>
      </c>
      <c r="L10" s="162">
        <f t="shared" si="1"/>
        <v>3569.8510847808757</v>
      </c>
      <c r="M10" s="35"/>
      <c r="N10" s="48">
        <f t="shared" ref="N10:P10" si="2">N9/44*40</f>
        <v>4318.181818181818</v>
      </c>
      <c r="O10" s="48">
        <f t="shared" si="2"/>
        <v>3022.7272727272725</v>
      </c>
      <c r="P10" s="48">
        <f t="shared" si="2"/>
        <v>2159.090909090909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5.75" customHeight="1">
      <c r="A11" s="163"/>
      <c r="B11" s="49" t="s">
        <v>83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50"/>
      <c r="N11" s="51">
        <v>0</v>
      </c>
      <c r="O11" s="52">
        <f t="shared" ref="O11:P11" si="3">O10-O8</f>
        <v>454.38178972727246</v>
      </c>
      <c r="P11" s="52">
        <f t="shared" si="3"/>
        <v>645.12556609090893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5.75" customHeight="1">
      <c r="A12" s="163"/>
      <c r="B12" s="49" t="s">
        <v>84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5.75" customHeight="1">
      <c r="A13" s="163"/>
      <c r="B13" s="49" t="s">
        <v>85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5.75" customHeight="1">
      <c r="A14" s="161"/>
      <c r="B14" s="49" t="s">
        <v>86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5.75" customHeight="1">
      <c r="A15" s="164">
        <v>132</v>
      </c>
      <c r="B15" s="47" t="s">
        <v>87</v>
      </c>
      <c r="C15" s="160">
        <f t="shared" ref="C15:L15" si="4">C10</f>
        <v>1513.9653430000001</v>
      </c>
      <c r="D15" s="160">
        <f t="shared" si="4"/>
        <v>1665.3618773000003</v>
      </c>
      <c r="E15" s="160">
        <f t="shared" si="4"/>
        <v>1831.8980650300005</v>
      </c>
      <c r="F15" s="160">
        <f t="shared" si="4"/>
        <v>2015.0878715330007</v>
      </c>
      <c r="G15" s="160">
        <f t="shared" si="4"/>
        <v>2216.596658686301</v>
      </c>
      <c r="H15" s="160">
        <f t="shared" si="4"/>
        <v>2438.2563245549313</v>
      </c>
      <c r="I15" s="160">
        <f t="shared" si="4"/>
        <v>2682.0819570104245</v>
      </c>
      <c r="J15" s="160">
        <f t="shared" si="4"/>
        <v>2950.2901527114673</v>
      </c>
      <c r="K15" s="160">
        <f t="shared" si="4"/>
        <v>3245.3191679826141</v>
      </c>
      <c r="L15" s="160">
        <f t="shared" si="4"/>
        <v>3569.8510847808757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5.75" customHeight="1">
      <c r="A16" s="161"/>
      <c r="B16" s="47" t="s">
        <v>88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5.75" customHeight="1">
      <c r="A17" s="53">
        <v>3</v>
      </c>
      <c r="B17" s="49" t="s">
        <v>89</v>
      </c>
      <c r="C17" s="162">
        <f>1487.66*D6</f>
        <v>1559.5139780000002</v>
      </c>
      <c r="D17" s="162">
        <f t="shared" ref="D17:L17" si="5">C17*1.1</f>
        <v>1715.4653758000004</v>
      </c>
      <c r="E17" s="162">
        <f t="shared" si="5"/>
        <v>1887.0119133800006</v>
      </c>
      <c r="F17" s="162">
        <f t="shared" si="5"/>
        <v>2075.713104718001</v>
      </c>
      <c r="G17" s="162">
        <f t="shared" si="5"/>
        <v>2283.2844151898012</v>
      </c>
      <c r="H17" s="162">
        <f t="shared" si="5"/>
        <v>2511.6128567087817</v>
      </c>
      <c r="I17" s="162">
        <f t="shared" si="5"/>
        <v>2762.7741423796601</v>
      </c>
      <c r="J17" s="162">
        <f t="shared" si="5"/>
        <v>3039.0515566176264</v>
      </c>
      <c r="K17" s="162">
        <f t="shared" si="5"/>
        <v>3342.9567122793892</v>
      </c>
      <c r="L17" s="162">
        <f t="shared" si="5"/>
        <v>3677.2523835073284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5.75" customHeight="1">
      <c r="A18" s="53">
        <v>133</v>
      </c>
      <c r="B18" s="49" t="s">
        <v>90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.75" customHeight="1">
      <c r="A19" s="165">
        <v>134</v>
      </c>
      <c r="B19" s="49" t="s">
        <v>91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.75" customHeight="1">
      <c r="A20" s="161"/>
      <c r="B20" s="49" t="s">
        <v>92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5.75" customHeight="1">
      <c r="A21" s="164">
        <v>7</v>
      </c>
      <c r="B21" s="47" t="s">
        <v>93</v>
      </c>
      <c r="C21" s="160">
        <f>1659.07*D6</f>
        <v>1739.2030809999999</v>
      </c>
      <c r="D21" s="160">
        <f t="shared" ref="D21:L21" si="6">C21*1.1</f>
        <v>1913.1233890999999</v>
      </c>
      <c r="E21" s="160">
        <f t="shared" si="6"/>
        <v>2104.4357280100003</v>
      </c>
      <c r="F21" s="160">
        <f t="shared" si="6"/>
        <v>2314.8793008110006</v>
      </c>
      <c r="G21" s="160">
        <f t="shared" si="6"/>
        <v>2546.3672308921009</v>
      </c>
      <c r="H21" s="160">
        <f t="shared" si="6"/>
        <v>2801.003953981311</v>
      </c>
      <c r="I21" s="160">
        <f t="shared" si="6"/>
        <v>3081.1043493794423</v>
      </c>
      <c r="J21" s="160">
        <f t="shared" si="6"/>
        <v>3389.2147843173866</v>
      </c>
      <c r="K21" s="160">
        <f t="shared" si="6"/>
        <v>3728.1362627491258</v>
      </c>
      <c r="L21" s="160">
        <f t="shared" si="6"/>
        <v>4100.9498890240384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5.75" customHeight="1">
      <c r="A22" s="161"/>
      <c r="B22" s="47" t="s">
        <v>94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5.75" customHeight="1">
      <c r="A23" s="165">
        <v>8</v>
      </c>
      <c r="B23" s="49" t="s">
        <v>95</v>
      </c>
      <c r="C23" s="162">
        <f>1751.27*D6</f>
        <v>1835.8563409999999</v>
      </c>
      <c r="D23" s="162">
        <f t="shared" ref="D23:L23" si="7">C23*1.1</f>
        <v>2019.4419751</v>
      </c>
      <c r="E23" s="162">
        <f t="shared" si="7"/>
        <v>2221.3861726100004</v>
      </c>
      <c r="F23" s="162">
        <f t="shared" si="7"/>
        <v>2443.5247898710004</v>
      </c>
      <c r="G23" s="162">
        <f t="shared" si="7"/>
        <v>2687.8772688581007</v>
      </c>
      <c r="H23" s="162">
        <f t="shared" si="7"/>
        <v>2956.6649957439108</v>
      </c>
      <c r="I23" s="162">
        <f t="shared" si="7"/>
        <v>3252.3314953183021</v>
      </c>
      <c r="J23" s="162">
        <f t="shared" si="7"/>
        <v>3577.5646448501325</v>
      </c>
      <c r="K23" s="162">
        <f t="shared" si="7"/>
        <v>3935.321109335146</v>
      </c>
      <c r="L23" s="162">
        <f t="shared" si="7"/>
        <v>4328.8532202686611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.75" customHeight="1">
      <c r="A24" s="161"/>
      <c r="B24" s="49" t="s">
        <v>96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customHeight="1">
      <c r="A25" s="53">
        <v>56</v>
      </c>
      <c r="B25" s="49" t="s">
        <v>97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.75" customHeight="1">
      <c r="A26" s="53">
        <v>135</v>
      </c>
      <c r="B26" s="49" t="s">
        <v>98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>
      <c r="A27" s="164">
        <v>9</v>
      </c>
      <c r="B27" s="47" t="s">
        <v>99</v>
      </c>
      <c r="C27" s="160">
        <f>1915.04*D6</f>
        <v>2007.5364319999999</v>
      </c>
      <c r="D27" s="160">
        <f t="shared" ref="D27:L27" si="8">C27*1.1</f>
        <v>2208.2900752</v>
      </c>
      <c r="E27" s="160">
        <f t="shared" si="8"/>
        <v>2429.1190827200003</v>
      </c>
      <c r="F27" s="160">
        <f t="shared" si="8"/>
        <v>2672.0309909920006</v>
      </c>
      <c r="G27" s="160">
        <f t="shared" si="8"/>
        <v>2939.2340900912009</v>
      </c>
      <c r="H27" s="160">
        <f t="shared" si="8"/>
        <v>3233.1574991003213</v>
      </c>
      <c r="I27" s="160">
        <f t="shared" si="8"/>
        <v>3556.4732490103538</v>
      </c>
      <c r="J27" s="160">
        <f t="shared" si="8"/>
        <v>3912.1205739113893</v>
      </c>
      <c r="K27" s="160">
        <f t="shared" si="8"/>
        <v>4303.3326313025282</v>
      </c>
      <c r="L27" s="160">
        <f t="shared" si="8"/>
        <v>4733.665894432781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.75" customHeight="1">
      <c r="A28" s="163"/>
      <c r="B28" s="47" t="s">
        <v>100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2.5">
      <c r="A29" s="161"/>
      <c r="B29" s="47" t="s">
        <v>101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2.5">
      <c r="A30" s="54">
        <v>136</v>
      </c>
      <c r="B30" s="47" t="s">
        <v>102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2.5">
      <c r="A31" s="165">
        <v>10</v>
      </c>
      <c r="B31" s="49" t="s">
        <v>103</v>
      </c>
      <c r="C31" s="162">
        <f>2165.63*D6</f>
        <v>2270.2299290000001</v>
      </c>
      <c r="D31" s="162">
        <f t="shared" ref="D31:L31" si="9">C31*1.1</f>
        <v>2497.2529219000003</v>
      </c>
      <c r="E31" s="162">
        <f t="shared" si="9"/>
        <v>2746.9782140900006</v>
      </c>
      <c r="F31" s="162">
        <f t="shared" si="9"/>
        <v>3021.676035499001</v>
      </c>
      <c r="G31" s="162">
        <f t="shared" si="9"/>
        <v>3323.8436390489014</v>
      </c>
      <c r="H31" s="162">
        <f t="shared" si="9"/>
        <v>3656.2280029537919</v>
      </c>
      <c r="I31" s="162">
        <f t="shared" si="9"/>
        <v>4021.8508032491713</v>
      </c>
      <c r="J31" s="162">
        <f t="shared" si="9"/>
        <v>4424.035883574089</v>
      </c>
      <c r="K31" s="162">
        <f t="shared" si="9"/>
        <v>4866.4394719314987</v>
      </c>
      <c r="L31" s="162">
        <f t="shared" si="9"/>
        <v>5353.0834191246486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2.5">
      <c r="A32" s="163"/>
      <c r="B32" s="49" t="s">
        <v>104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2.5">
      <c r="A33" s="163"/>
      <c r="B33" s="49" t="s">
        <v>105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2.5">
      <c r="A34" s="161"/>
      <c r="B34" s="49" t="s">
        <v>106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2.5">
      <c r="A35" s="53">
        <v>137</v>
      </c>
      <c r="B35" s="49" t="s">
        <v>107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2.5">
      <c r="A36" s="164">
        <v>11</v>
      </c>
      <c r="B36" s="47" t="s">
        <v>108</v>
      </c>
      <c r="C36" s="160">
        <f>2450.01*D6</f>
        <v>2568.3454830000001</v>
      </c>
      <c r="D36" s="160">
        <f t="shared" ref="D36:L36" si="10">C36*1.1</f>
        <v>2825.1800313000003</v>
      </c>
      <c r="E36" s="160">
        <f t="shared" si="10"/>
        <v>3107.6980344300005</v>
      </c>
      <c r="F36" s="160">
        <f t="shared" si="10"/>
        <v>3418.4678378730009</v>
      </c>
      <c r="G36" s="160">
        <f t="shared" si="10"/>
        <v>3760.3146216603013</v>
      </c>
      <c r="H36" s="160">
        <f t="shared" si="10"/>
        <v>4136.3460838263318</v>
      </c>
      <c r="I36" s="160">
        <f t="shared" si="10"/>
        <v>4549.9806922089656</v>
      </c>
      <c r="J36" s="160">
        <f t="shared" si="10"/>
        <v>5004.978761429863</v>
      </c>
      <c r="K36" s="160">
        <f t="shared" si="10"/>
        <v>5505.4766375728495</v>
      </c>
      <c r="L36" s="160">
        <f t="shared" si="10"/>
        <v>6056.0243013301351</v>
      </c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2.5">
      <c r="A37" s="163"/>
      <c r="B37" s="47" t="s">
        <v>109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2.5">
      <c r="A38" s="163"/>
      <c r="B38" s="47" t="s">
        <v>110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2.5">
      <c r="A39" s="163"/>
      <c r="B39" s="47" t="s">
        <v>111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2.5">
      <c r="A40" s="163"/>
      <c r="B40" s="47" t="s">
        <v>112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2.5">
      <c r="A41" s="161"/>
      <c r="B41" s="47" t="s">
        <v>113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2.5">
      <c r="A42" s="54">
        <v>138</v>
      </c>
      <c r="B42" s="47" t="s">
        <v>114</v>
      </c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2.5">
      <c r="A43" s="164">
        <v>139</v>
      </c>
      <c r="B43" s="47" t="s">
        <v>115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2.5">
      <c r="A44" s="163"/>
      <c r="B44" s="47" t="s">
        <v>116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2.5">
      <c r="A45" s="161"/>
      <c r="B45" s="47" t="s">
        <v>117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2.5">
      <c r="A46" s="165">
        <v>12</v>
      </c>
      <c r="B46" s="49" t="s">
        <v>118</v>
      </c>
      <c r="C46" s="162">
        <f>2772.83*D6</f>
        <v>2906.757689</v>
      </c>
      <c r="D46" s="162">
        <f t="shared" ref="D46:L46" si="11">C46*1.1</f>
        <v>3197.4334579000001</v>
      </c>
      <c r="E46" s="162">
        <f t="shared" si="11"/>
        <v>3517.1768036900003</v>
      </c>
      <c r="F46" s="162">
        <f t="shared" si="11"/>
        <v>3868.8944840590007</v>
      </c>
      <c r="G46" s="162">
        <f t="shared" si="11"/>
        <v>4255.7839324649012</v>
      </c>
      <c r="H46" s="162">
        <f t="shared" si="11"/>
        <v>4681.3623257113913</v>
      </c>
      <c r="I46" s="162">
        <f t="shared" si="11"/>
        <v>5149.4985582825311</v>
      </c>
      <c r="J46" s="162">
        <f t="shared" si="11"/>
        <v>5664.4484141107851</v>
      </c>
      <c r="K46" s="162">
        <f t="shared" si="11"/>
        <v>6230.8932555218644</v>
      </c>
      <c r="L46" s="162">
        <f t="shared" si="11"/>
        <v>6853.9825810740513</v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2.5">
      <c r="A47" s="163"/>
      <c r="B47" s="49" t="s">
        <v>119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2.5">
      <c r="A48" s="163"/>
      <c r="B48" s="49" t="s">
        <v>120</v>
      </c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2.5">
      <c r="A49" s="163"/>
      <c r="B49" s="49" t="s">
        <v>121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.5">
      <c r="A50" s="161"/>
      <c r="B50" s="49" t="s">
        <v>122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5">
      <c r="A51" s="54">
        <v>78</v>
      </c>
      <c r="B51" s="47" t="s">
        <v>123</v>
      </c>
      <c r="C51" s="55">
        <f>2806.16*D6</f>
        <v>2941.6975279999997</v>
      </c>
      <c r="D51" s="55">
        <f t="shared" ref="D51:L51" si="12">C51*1.1</f>
        <v>3235.8672808000001</v>
      </c>
      <c r="E51" s="55">
        <f t="shared" si="12"/>
        <v>3559.4540088800004</v>
      </c>
      <c r="F51" s="55">
        <f t="shared" si="12"/>
        <v>3915.3994097680006</v>
      </c>
      <c r="G51" s="55">
        <f t="shared" si="12"/>
        <v>4306.9393507448012</v>
      </c>
      <c r="H51" s="55">
        <f t="shared" si="12"/>
        <v>4737.6332858192818</v>
      </c>
      <c r="I51" s="55">
        <f t="shared" si="12"/>
        <v>5211.3966144012102</v>
      </c>
      <c r="J51" s="55">
        <f t="shared" si="12"/>
        <v>5732.5362758413321</v>
      </c>
      <c r="K51" s="55">
        <f t="shared" si="12"/>
        <v>6305.789903425466</v>
      </c>
      <c r="L51" s="55">
        <f t="shared" si="12"/>
        <v>6936.3688937680135</v>
      </c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2.5">
      <c r="A52" s="165">
        <v>13</v>
      </c>
      <c r="B52" s="49" t="s">
        <v>124</v>
      </c>
      <c r="C52" s="162">
        <f>3244.22*D6</f>
        <v>3400.9158259999999</v>
      </c>
      <c r="D52" s="162">
        <f t="shared" ref="D52:L52" si="13">C52*1.1</f>
        <v>3741.0074086000004</v>
      </c>
      <c r="E52" s="162">
        <f t="shared" si="13"/>
        <v>4115.1081494600012</v>
      </c>
      <c r="F52" s="162">
        <f t="shared" si="13"/>
        <v>4526.6189644060014</v>
      </c>
      <c r="G52" s="162">
        <f t="shared" si="13"/>
        <v>4979.2808608466021</v>
      </c>
      <c r="H52" s="162">
        <f t="shared" si="13"/>
        <v>5477.2089469312623</v>
      </c>
      <c r="I52" s="162">
        <f t="shared" si="13"/>
        <v>6024.9298416243892</v>
      </c>
      <c r="J52" s="162">
        <f t="shared" si="13"/>
        <v>6627.422825786829</v>
      </c>
      <c r="K52" s="162">
        <f t="shared" si="13"/>
        <v>7290.1651083655124</v>
      </c>
      <c r="L52" s="162">
        <f t="shared" si="13"/>
        <v>8019.1816192020642</v>
      </c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2.5">
      <c r="A53" s="163"/>
      <c r="B53" s="49" t="s">
        <v>125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2.5">
      <c r="A54" s="163"/>
      <c r="B54" s="49" t="s">
        <v>126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5">
      <c r="A55" s="161"/>
      <c r="B55" s="49" t="s">
        <v>127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2.5">
      <c r="A56" s="164">
        <v>14</v>
      </c>
      <c r="B56" s="47" t="s">
        <v>128</v>
      </c>
      <c r="C56" s="160">
        <f>4150.74*D6</f>
        <v>4351.2207419999995</v>
      </c>
      <c r="D56" s="160">
        <f t="shared" ref="D56:L56" si="14">C56*1.1</f>
        <v>4786.3428162</v>
      </c>
      <c r="E56" s="160">
        <f t="shared" si="14"/>
        <v>5264.9770978200004</v>
      </c>
      <c r="F56" s="160">
        <f t="shared" si="14"/>
        <v>5791.4748076020005</v>
      </c>
      <c r="G56" s="160">
        <f t="shared" si="14"/>
        <v>6370.6222883622013</v>
      </c>
      <c r="H56" s="160">
        <f t="shared" si="14"/>
        <v>7007.6845171984223</v>
      </c>
      <c r="I56" s="160">
        <f t="shared" si="14"/>
        <v>7708.4529689182655</v>
      </c>
      <c r="J56" s="160">
        <f t="shared" si="14"/>
        <v>8479.2982658100918</v>
      </c>
      <c r="K56" s="160">
        <f t="shared" si="14"/>
        <v>9327.2280923911021</v>
      </c>
      <c r="L56" s="160">
        <f t="shared" si="14"/>
        <v>10259.950901630213</v>
      </c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2.5">
      <c r="A57" s="161"/>
      <c r="B57" s="47" t="s">
        <v>129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2.5">
      <c r="A58" s="165">
        <v>15</v>
      </c>
      <c r="B58" s="49" t="s">
        <v>130</v>
      </c>
      <c r="C58" s="162">
        <f>4703.17*D6</f>
        <v>4930.3331109999999</v>
      </c>
      <c r="D58" s="162">
        <f t="shared" ref="D58:L58" si="15">C58*1.1</f>
        <v>5423.3664220999999</v>
      </c>
      <c r="E58" s="162">
        <f t="shared" si="15"/>
        <v>5965.7030643100006</v>
      </c>
      <c r="F58" s="162">
        <f t="shared" si="15"/>
        <v>6562.2733707410016</v>
      </c>
      <c r="G58" s="162">
        <f t="shared" si="15"/>
        <v>7218.500707815102</v>
      </c>
      <c r="H58" s="162">
        <f t="shared" si="15"/>
        <v>7940.3507785966131</v>
      </c>
      <c r="I58" s="162">
        <f t="shared" si="15"/>
        <v>8734.3858564562743</v>
      </c>
      <c r="J58" s="162">
        <f t="shared" si="15"/>
        <v>9607.8244421019026</v>
      </c>
      <c r="K58" s="162">
        <f t="shared" si="15"/>
        <v>10568.606886312095</v>
      </c>
      <c r="L58" s="162">
        <f t="shared" si="15"/>
        <v>11625.467574943304</v>
      </c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2.5">
      <c r="A59" s="161"/>
      <c r="B59" s="49" t="s">
        <v>131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2.5">
      <c r="A60" s="164">
        <v>16</v>
      </c>
      <c r="B60" s="47" t="s">
        <v>132</v>
      </c>
      <c r="C60" s="160">
        <f>5354.22*D6</f>
        <v>5612.8288259999999</v>
      </c>
      <c r="D60" s="160">
        <f t="shared" ref="D60:L60" si="16">C60*1.1</f>
        <v>6174.1117086000004</v>
      </c>
      <c r="E60" s="160">
        <f t="shared" si="16"/>
        <v>6791.5228794600007</v>
      </c>
      <c r="F60" s="160">
        <f t="shared" si="16"/>
        <v>7470.6751674060015</v>
      </c>
      <c r="G60" s="160">
        <f t="shared" si="16"/>
        <v>8217.7426841466022</v>
      </c>
      <c r="H60" s="160">
        <f t="shared" si="16"/>
        <v>9039.5169525612637</v>
      </c>
      <c r="I60" s="160">
        <f t="shared" si="16"/>
        <v>9943.4686478173917</v>
      </c>
      <c r="J60" s="160">
        <f t="shared" si="16"/>
        <v>10937.815512599132</v>
      </c>
      <c r="K60" s="160">
        <f t="shared" si="16"/>
        <v>12031.597063859046</v>
      </c>
      <c r="L60" s="160">
        <f t="shared" si="16"/>
        <v>13234.756770244952</v>
      </c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2.5">
      <c r="A61" s="161"/>
      <c r="B61" s="47" t="s">
        <v>133</v>
      </c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2.5">
      <c r="A62" s="165">
        <v>17</v>
      </c>
      <c r="B62" s="49" t="s">
        <v>134</v>
      </c>
      <c r="C62" s="162">
        <f>3127.92*D6</f>
        <v>3278.9985360000001</v>
      </c>
      <c r="D62" s="162">
        <f t="shared" ref="D62:L62" si="17">C62*1.1</f>
        <v>3606.8983896000004</v>
      </c>
      <c r="E62" s="162">
        <f t="shared" si="17"/>
        <v>3967.588228560001</v>
      </c>
      <c r="F62" s="162">
        <f t="shared" si="17"/>
        <v>4364.3470514160017</v>
      </c>
      <c r="G62" s="162">
        <f t="shared" si="17"/>
        <v>4800.7817565576024</v>
      </c>
      <c r="H62" s="162">
        <f t="shared" si="17"/>
        <v>5280.8599322133632</v>
      </c>
      <c r="I62" s="162">
        <f t="shared" si="17"/>
        <v>5808.9459254347003</v>
      </c>
      <c r="J62" s="162">
        <f t="shared" si="17"/>
        <v>6389.8405179781712</v>
      </c>
      <c r="K62" s="162">
        <f t="shared" si="17"/>
        <v>7028.8245697759885</v>
      </c>
      <c r="L62" s="162">
        <f t="shared" si="17"/>
        <v>7731.7070267535883</v>
      </c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2.5">
      <c r="A63" s="161"/>
      <c r="B63" s="49" t="s">
        <v>135</v>
      </c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2.5">
      <c r="A64" s="54">
        <v>18</v>
      </c>
      <c r="B64" s="56" t="s">
        <v>136</v>
      </c>
      <c r="C64" s="55">
        <f>3465.89*D6</f>
        <v>3633.2924869999997</v>
      </c>
      <c r="D64" s="55">
        <f t="shared" ref="D64:L64" si="18">C64*1.1</f>
        <v>3996.6217357</v>
      </c>
      <c r="E64" s="55">
        <f t="shared" si="18"/>
        <v>4396.2839092700005</v>
      </c>
      <c r="F64" s="55">
        <f t="shared" si="18"/>
        <v>4835.9123001970011</v>
      </c>
      <c r="G64" s="55">
        <f t="shared" si="18"/>
        <v>5319.5035302167016</v>
      </c>
      <c r="H64" s="55">
        <f t="shared" si="18"/>
        <v>5851.4538832383723</v>
      </c>
      <c r="I64" s="55">
        <f t="shared" si="18"/>
        <v>6436.5992715622097</v>
      </c>
      <c r="J64" s="55">
        <f t="shared" si="18"/>
        <v>7080.2591987184314</v>
      </c>
      <c r="K64" s="55">
        <f t="shared" si="18"/>
        <v>7788.2851185902755</v>
      </c>
      <c r="L64" s="55">
        <f t="shared" si="18"/>
        <v>8567.1136304493029</v>
      </c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2.5">
      <c r="A65" s="53">
        <v>98</v>
      </c>
      <c r="B65" s="49" t="s">
        <v>137</v>
      </c>
      <c r="C65" s="57">
        <f>3527.38*D6</f>
        <v>3697.7524539999999</v>
      </c>
      <c r="D65" s="57">
        <f t="shared" ref="D65:L65" si="19">C65*1.1</f>
        <v>4067.5276994000001</v>
      </c>
      <c r="E65" s="57">
        <f t="shared" si="19"/>
        <v>4474.2804693400003</v>
      </c>
      <c r="F65" s="57">
        <f t="shared" si="19"/>
        <v>4921.7085162740004</v>
      </c>
      <c r="G65" s="57">
        <f t="shared" si="19"/>
        <v>5413.8793679014007</v>
      </c>
      <c r="H65" s="57">
        <f t="shared" si="19"/>
        <v>5955.2673046915415</v>
      </c>
      <c r="I65" s="57">
        <f t="shared" si="19"/>
        <v>6550.7940351606958</v>
      </c>
      <c r="J65" s="57">
        <f t="shared" si="19"/>
        <v>7205.8734386767655</v>
      </c>
      <c r="K65" s="57">
        <f t="shared" si="19"/>
        <v>7926.4607825444427</v>
      </c>
      <c r="L65" s="57">
        <f t="shared" si="19"/>
        <v>8719.1068607988873</v>
      </c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2.5">
      <c r="A66" s="54">
        <v>41</v>
      </c>
      <c r="B66" s="56" t="s">
        <v>138</v>
      </c>
      <c r="C66" s="55">
        <f>3927.18*D6</f>
        <v>4116.8627939999997</v>
      </c>
      <c r="D66" s="55">
        <f t="shared" ref="D66:L66" si="20">C66*1.1</f>
        <v>4528.5490734000005</v>
      </c>
      <c r="E66" s="55">
        <f t="shared" si="20"/>
        <v>4981.4039807400013</v>
      </c>
      <c r="F66" s="55">
        <f t="shared" si="20"/>
        <v>5479.5443788140019</v>
      </c>
      <c r="G66" s="55">
        <f t="shared" si="20"/>
        <v>6027.4988166954026</v>
      </c>
      <c r="H66" s="55">
        <f t="shared" si="20"/>
        <v>6630.2486983649433</v>
      </c>
      <c r="I66" s="55">
        <f t="shared" si="20"/>
        <v>7293.2735682014381</v>
      </c>
      <c r="J66" s="55">
        <f t="shared" si="20"/>
        <v>8022.600925021583</v>
      </c>
      <c r="K66" s="55">
        <f t="shared" si="20"/>
        <v>8824.8610175237427</v>
      </c>
      <c r="L66" s="55">
        <f t="shared" si="20"/>
        <v>9707.3471192761172</v>
      </c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2.5">
      <c r="A67" s="53">
        <v>42</v>
      </c>
      <c r="B67" s="58" t="s">
        <v>139</v>
      </c>
      <c r="C67" s="57">
        <f>4470.81*D6</f>
        <v>4686.7501230000007</v>
      </c>
      <c r="D67" s="57">
        <f t="shared" ref="D67:L67" si="21">C67*1.1</f>
        <v>5155.4251353000009</v>
      </c>
      <c r="E67" s="57">
        <f t="shared" si="21"/>
        <v>5670.9676488300011</v>
      </c>
      <c r="F67" s="57">
        <f t="shared" si="21"/>
        <v>6238.0644137130021</v>
      </c>
      <c r="G67" s="57">
        <f t="shared" si="21"/>
        <v>6861.870855084303</v>
      </c>
      <c r="H67" s="57">
        <f t="shared" si="21"/>
        <v>7548.0579405927338</v>
      </c>
      <c r="I67" s="57">
        <f t="shared" si="21"/>
        <v>8302.8637346520081</v>
      </c>
      <c r="J67" s="57">
        <f t="shared" si="21"/>
        <v>9133.15010811721</v>
      </c>
      <c r="K67" s="57">
        <f t="shared" si="21"/>
        <v>10046.465118928932</v>
      </c>
      <c r="L67" s="57">
        <f t="shared" si="21"/>
        <v>11051.111630821826</v>
      </c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2.5">
      <c r="A68" s="54">
        <v>112</v>
      </c>
      <c r="B68" s="47" t="s">
        <v>140</v>
      </c>
      <c r="C68" s="55">
        <f>2166.17*D6</f>
        <v>2270.7960109999999</v>
      </c>
      <c r="D68" s="55">
        <f t="shared" ref="D68:L68" si="22">C68*1.1</f>
        <v>2497.8756121000001</v>
      </c>
      <c r="E68" s="55">
        <f t="shared" si="22"/>
        <v>2747.6631733100003</v>
      </c>
      <c r="F68" s="55">
        <f t="shared" si="22"/>
        <v>3022.4294906410005</v>
      </c>
      <c r="G68" s="55">
        <f t="shared" si="22"/>
        <v>3324.6724397051007</v>
      </c>
      <c r="H68" s="55">
        <f t="shared" si="22"/>
        <v>3657.1396836756112</v>
      </c>
      <c r="I68" s="55">
        <f t="shared" si="22"/>
        <v>4022.8536520431726</v>
      </c>
      <c r="J68" s="55">
        <f t="shared" si="22"/>
        <v>4425.1390172474903</v>
      </c>
      <c r="K68" s="55">
        <f t="shared" si="22"/>
        <v>4867.6529189722396</v>
      </c>
      <c r="L68" s="55">
        <f t="shared" si="22"/>
        <v>5354.418210869464</v>
      </c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2.5">
      <c r="A69" s="53">
        <v>113</v>
      </c>
      <c r="B69" s="49" t="s">
        <v>141</v>
      </c>
      <c r="C69" s="57">
        <f>2454.49*D6</f>
        <v>2573.0418669999999</v>
      </c>
      <c r="D69" s="57">
        <f t="shared" ref="D69:L69" si="23">C69*1.1</f>
        <v>2830.3460537000001</v>
      </c>
      <c r="E69" s="57">
        <f t="shared" si="23"/>
        <v>3113.3806590700005</v>
      </c>
      <c r="F69" s="57">
        <f t="shared" si="23"/>
        <v>3424.7187249770009</v>
      </c>
      <c r="G69" s="57">
        <f t="shared" si="23"/>
        <v>3767.1905974747015</v>
      </c>
      <c r="H69" s="57">
        <f t="shared" si="23"/>
        <v>4143.9096572221715</v>
      </c>
      <c r="I69" s="57">
        <f t="shared" si="23"/>
        <v>4558.300622944389</v>
      </c>
      <c r="J69" s="57">
        <f t="shared" si="23"/>
        <v>5014.1306852388279</v>
      </c>
      <c r="K69" s="57">
        <f t="shared" si="23"/>
        <v>5515.5437537627113</v>
      </c>
      <c r="L69" s="57">
        <f t="shared" si="23"/>
        <v>6067.0981291389826</v>
      </c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2.5">
      <c r="A70" s="54">
        <v>114</v>
      </c>
      <c r="B70" s="47" t="s">
        <v>142</v>
      </c>
      <c r="C70" s="55">
        <f>2794.25*D6</f>
        <v>2929.2122749999999</v>
      </c>
      <c r="D70" s="55">
        <f t="shared" ref="D70:L70" si="24">C70*1.1</f>
        <v>3222.1335025000003</v>
      </c>
      <c r="E70" s="55">
        <f t="shared" si="24"/>
        <v>3544.3468527500008</v>
      </c>
      <c r="F70" s="55">
        <f t="shared" si="24"/>
        <v>3898.7815380250013</v>
      </c>
      <c r="G70" s="55">
        <f t="shared" si="24"/>
        <v>4288.6596918275018</v>
      </c>
      <c r="H70" s="55">
        <f t="shared" si="24"/>
        <v>4717.5256610102524</v>
      </c>
      <c r="I70" s="55">
        <f t="shared" si="24"/>
        <v>5189.2782271112783</v>
      </c>
      <c r="J70" s="55">
        <f t="shared" si="24"/>
        <v>5708.2060498224064</v>
      </c>
      <c r="K70" s="55">
        <f t="shared" si="24"/>
        <v>6279.0266548046475</v>
      </c>
      <c r="L70" s="55">
        <f t="shared" si="24"/>
        <v>6906.9293202851131</v>
      </c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2.5">
      <c r="A71" s="59" t="s">
        <v>143</v>
      </c>
      <c r="B71" s="60" t="s">
        <v>144</v>
      </c>
      <c r="C71" s="61">
        <f>C73</f>
        <v>3036</v>
      </c>
      <c r="D71" s="61">
        <f t="shared" ref="D71:L71" si="25">C71*1.1</f>
        <v>3339.6000000000004</v>
      </c>
      <c r="E71" s="61">
        <f t="shared" si="25"/>
        <v>3673.5600000000009</v>
      </c>
      <c r="F71" s="61">
        <f t="shared" si="25"/>
        <v>4040.9160000000011</v>
      </c>
      <c r="G71" s="61">
        <f t="shared" si="25"/>
        <v>4445.0076000000017</v>
      </c>
      <c r="H71" s="61">
        <f t="shared" si="25"/>
        <v>4889.5083600000025</v>
      </c>
      <c r="I71" s="61">
        <f t="shared" si="25"/>
        <v>5378.4591960000034</v>
      </c>
      <c r="J71" s="61">
        <f t="shared" si="25"/>
        <v>5916.3051156000047</v>
      </c>
      <c r="K71" s="61">
        <f t="shared" si="25"/>
        <v>6507.9356271600054</v>
      </c>
      <c r="L71" s="61">
        <f t="shared" si="25"/>
        <v>7158.7291898760068</v>
      </c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2.5">
      <c r="A72" s="59">
        <v>111</v>
      </c>
      <c r="B72" s="60" t="s">
        <v>145</v>
      </c>
      <c r="C72" s="61">
        <f>C71*107.59%</f>
        <v>3266.4324000000001</v>
      </c>
      <c r="D72" s="61">
        <f t="shared" ref="D72:L72" si="26">C72*1.1</f>
        <v>3593.0756400000005</v>
      </c>
      <c r="E72" s="61">
        <f t="shared" si="26"/>
        <v>3952.3832040000007</v>
      </c>
      <c r="F72" s="61">
        <f t="shared" si="26"/>
        <v>4347.6215244000014</v>
      </c>
      <c r="G72" s="61">
        <f t="shared" si="26"/>
        <v>4782.3836768400015</v>
      </c>
      <c r="H72" s="61">
        <f t="shared" si="26"/>
        <v>5260.6220445240024</v>
      </c>
      <c r="I72" s="61">
        <f t="shared" si="26"/>
        <v>5786.6842489764031</v>
      </c>
      <c r="J72" s="61">
        <f t="shared" si="26"/>
        <v>6365.3526738740438</v>
      </c>
      <c r="K72" s="61">
        <f t="shared" si="26"/>
        <v>7001.8879412614488</v>
      </c>
      <c r="L72" s="61">
        <f t="shared" si="26"/>
        <v>7702.0767353875945</v>
      </c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2.5">
      <c r="A73" s="59" t="s">
        <v>146</v>
      </c>
      <c r="B73" s="60" t="s">
        <v>147</v>
      </c>
      <c r="C73" s="166">
        <f>1518*2</f>
        <v>3036</v>
      </c>
      <c r="D73" s="142"/>
      <c r="E73" s="142"/>
      <c r="F73" s="142"/>
      <c r="G73" s="142"/>
      <c r="H73" s="142"/>
      <c r="I73" s="142"/>
      <c r="J73" s="142"/>
      <c r="K73" s="142"/>
      <c r="L73" s="143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2.5">
      <c r="A74" s="62" t="s">
        <v>148</v>
      </c>
      <c r="B74" s="35" t="s">
        <v>149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2.5">
      <c r="A75" s="62" t="s">
        <v>148</v>
      </c>
      <c r="B75" s="64" t="s">
        <v>150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2.5">
      <c r="A76" s="62" t="s">
        <v>148</v>
      </c>
      <c r="B76" s="65" t="s">
        <v>151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2.5">
      <c r="A77" s="66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2.5">
      <c r="A78" s="167" t="s">
        <v>62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3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2.5">
      <c r="A79" s="154" t="s">
        <v>1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3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2.5">
      <c r="A80" s="155" t="s">
        <v>2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1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2.5">
      <c r="A81" s="36"/>
      <c r="B81" s="37"/>
      <c r="C81" s="37"/>
      <c r="D81" s="38"/>
      <c r="E81" s="37"/>
      <c r="F81" s="37"/>
      <c r="G81" s="37"/>
      <c r="H81" s="37"/>
      <c r="I81" s="37"/>
      <c r="J81" s="37"/>
      <c r="K81" s="37"/>
      <c r="L81" s="39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2.5">
      <c r="A82" s="156" t="s">
        <v>152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1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2.5">
      <c r="A83" s="157" t="s">
        <v>4</v>
      </c>
      <c r="B83" s="135"/>
      <c r="C83" s="40"/>
      <c r="D83" s="41">
        <v>1.0483</v>
      </c>
      <c r="E83" s="68"/>
      <c r="F83" s="43"/>
      <c r="G83" s="43"/>
      <c r="H83" s="43"/>
      <c r="I83" s="43"/>
      <c r="J83" s="43"/>
      <c r="K83" s="158" t="s">
        <v>64</v>
      </c>
      <c r="L83" s="131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2.5">
      <c r="A84" s="44" t="s">
        <v>8</v>
      </c>
      <c r="B84" s="45" t="s">
        <v>66</v>
      </c>
      <c r="C84" s="45" t="s">
        <v>67</v>
      </c>
      <c r="D84" s="45" t="s">
        <v>68</v>
      </c>
      <c r="E84" s="45" t="s">
        <v>69</v>
      </c>
      <c r="F84" s="45" t="s">
        <v>70</v>
      </c>
      <c r="G84" s="45" t="s">
        <v>71</v>
      </c>
      <c r="H84" s="45" t="s">
        <v>72</v>
      </c>
      <c r="I84" s="45" t="s">
        <v>73</v>
      </c>
      <c r="J84" s="45" t="s">
        <v>74</v>
      </c>
      <c r="K84" s="45" t="s">
        <v>75</v>
      </c>
      <c r="L84" s="45" t="s">
        <v>76</v>
      </c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2.5">
      <c r="A85" s="69">
        <v>141</v>
      </c>
      <c r="B85" s="70" t="s">
        <v>153</v>
      </c>
      <c r="C85" s="57">
        <f>1412*D83</f>
        <v>1480.1995999999999</v>
      </c>
      <c r="D85" s="57">
        <f t="shared" ref="D85:L85" si="27">C85*1.1</f>
        <v>1628.21956</v>
      </c>
      <c r="E85" s="57">
        <f t="shared" si="27"/>
        <v>1791.0415160000002</v>
      </c>
      <c r="F85" s="57">
        <f t="shared" si="27"/>
        <v>1970.1456676000005</v>
      </c>
      <c r="G85" s="57">
        <f t="shared" si="27"/>
        <v>2167.1602343600007</v>
      </c>
      <c r="H85" s="57">
        <f t="shared" si="27"/>
        <v>2383.876257796001</v>
      </c>
      <c r="I85" s="57">
        <f t="shared" si="27"/>
        <v>2622.2638835756015</v>
      </c>
      <c r="J85" s="57">
        <f t="shared" si="27"/>
        <v>2884.4902719331621</v>
      </c>
      <c r="K85" s="57">
        <f t="shared" si="27"/>
        <v>3172.9392991264785</v>
      </c>
      <c r="L85" s="57">
        <f t="shared" si="27"/>
        <v>3490.2332290391269</v>
      </c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2.5">
      <c r="A86" s="71">
        <v>142</v>
      </c>
      <c r="B86" s="72" t="s">
        <v>154</v>
      </c>
      <c r="C86" s="160">
        <f>1412*D83</f>
        <v>1480.1995999999999</v>
      </c>
      <c r="D86" s="160">
        <f t="shared" ref="D86:L86" si="28">C86*1.1</f>
        <v>1628.21956</v>
      </c>
      <c r="E86" s="160">
        <f t="shared" si="28"/>
        <v>1791.0415160000002</v>
      </c>
      <c r="F86" s="160">
        <f t="shared" si="28"/>
        <v>1970.1456676000005</v>
      </c>
      <c r="G86" s="160">
        <f t="shared" si="28"/>
        <v>2167.1602343600007</v>
      </c>
      <c r="H86" s="160">
        <f t="shared" si="28"/>
        <v>2383.876257796001</v>
      </c>
      <c r="I86" s="160">
        <f t="shared" si="28"/>
        <v>2622.2638835756015</v>
      </c>
      <c r="J86" s="160">
        <f t="shared" si="28"/>
        <v>2884.4902719331621</v>
      </c>
      <c r="K86" s="160">
        <f t="shared" si="28"/>
        <v>3172.9392991264785</v>
      </c>
      <c r="L86" s="160">
        <f t="shared" si="28"/>
        <v>3490.2332290391269</v>
      </c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2.5">
      <c r="A87" s="71">
        <v>143</v>
      </c>
      <c r="B87" s="72" t="s">
        <v>155</v>
      </c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2.5">
      <c r="A88" s="69">
        <v>144</v>
      </c>
      <c r="B88" s="70" t="s">
        <v>156</v>
      </c>
      <c r="C88" s="57">
        <f>1422.04*D83</f>
        <v>1490.724532</v>
      </c>
      <c r="D88" s="57">
        <f t="shared" ref="D88:L88" si="29">C88*1.1</f>
        <v>1639.7969852000001</v>
      </c>
      <c r="E88" s="57">
        <f t="shared" si="29"/>
        <v>1803.7766837200002</v>
      </c>
      <c r="F88" s="57">
        <f t="shared" si="29"/>
        <v>1984.1543520920004</v>
      </c>
      <c r="G88" s="57">
        <f t="shared" si="29"/>
        <v>2182.5697873012004</v>
      </c>
      <c r="H88" s="57">
        <f t="shared" si="29"/>
        <v>2400.8267660313209</v>
      </c>
      <c r="I88" s="57">
        <f t="shared" si="29"/>
        <v>2640.9094426344532</v>
      </c>
      <c r="J88" s="57">
        <f t="shared" si="29"/>
        <v>2905.0003868978988</v>
      </c>
      <c r="K88" s="57">
        <f t="shared" si="29"/>
        <v>3195.5004255876888</v>
      </c>
      <c r="L88" s="57">
        <f t="shared" si="29"/>
        <v>3515.0504681464581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2.5">
      <c r="A89" s="71">
        <v>145</v>
      </c>
      <c r="B89" s="72" t="s">
        <v>157</v>
      </c>
      <c r="C89" s="55">
        <f>1452.75*D83</f>
        <v>1522.917825</v>
      </c>
      <c r="D89" s="55">
        <f t="shared" ref="D89:L89" si="30">C89*1.1</f>
        <v>1675.2096075000002</v>
      </c>
      <c r="E89" s="55">
        <f t="shared" si="30"/>
        <v>1842.7305682500003</v>
      </c>
      <c r="F89" s="55">
        <f t="shared" si="30"/>
        <v>2027.0036250750004</v>
      </c>
      <c r="G89" s="55">
        <f t="shared" si="30"/>
        <v>2229.7039875825008</v>
      </c>
      <c r="H89" s="55">
        <f t="shared" si="30"/>
        <v>2452.674386340751</v>
      </c>
      <c r="I89" s="55">
        <f t="shared" si="30"/>
        <v>2697.9418249748264</v>
      </c>
      <c r="J89" s="55">
        <f t="shared" si="30"/>
        <v>2967.7360074723092</v>
      </c>
      <c r="K89" s="55">
        <f t="shared" si="30"/>
        <v>3264.5096082195405</v>
      </c>
      <c r="L89" s="55">
        <f t="shared" si="30"/>
        <v>3590.9605690414946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2.5">
      <c r="A90" s="69">
        <v>146</v>
      </c>
      <c r="B90" s="70" t="s">
        <v>158</v>
      </c>
      <c r="C90" s="57">
        <f>1507.29*D83</f>
        <v>1580.0921069999999</v>
      </c>
      <c r="D90" s="57">
        <f t="shared" ref="D90:L90" si="31">C90*1.1</f>
        <v>1738.1013177</v>
      </c>
      <c r="E90" s="57">
        <f t="shared" si="31"/>
        <v>1911.9114494700002</v>
      </c>
      <c r="F90" s="57">
        <f t="shared" si="31"/>
        <v>2103.1025944170005</v>
      </c>
      <c r="G90" s="57">
        <f t="shared" si="31"/>
        <v>2313.4128538587006</v>
      </c>
      <c r="H90" s="57">
        <f t="shared" si="31"/>
        <v>2544.754139244571</v>
      </c>
      <c r="I90" s="57">
        <f t="shared" si="31"/>
        <v>2799.2295531690283</v>
      </c>
      <c r="J90" s="57">
        <f t="shared" si="31"/>
        <v>3079.1525084859313</v>
      </c>
      <c r="K90" s="57">
        <f t="shared" si="31"/>
        <v>3387.0677593345249</v>
      </c>
      <c r="L90" s="57">
        <f t="shared" si="31"/>
        <v>3725.7745352679776</v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2.5">
      <c r="A91" s="71">
        <v>147</v>
      </c>
      <c r="B91" s="72" t="s">
        <v>159</v>
      </c>
      <c r="C91" s="55">
        <f>1730.21*D83</f>
        <v>1813.779143</v>
      </c>
      <c r="D91" s="55">
        <f t="shared" ref="D91:L91" si="32">C91*1.1</f>
        <v>1995.1570573000001</v>
      </c>
      <c r="E91" s="55">
        <f t="shared" si="32"/>
        <v>2194.6727630300002</v>
      </c>
      <c r="F91" s="55">
        <f t="shared" si="32"/>
        <v>2414.1400393330005</v>
      </c>
      <c r="G91" s="55">
        <f t="shared" si="32"/>
        <v>2655.5540432663006</v>
      </c>
      <c r="H91" s="55">
        <f t="shared" si="32"/>
        <v>2921.1094475929308</v>
      </c>
      <c r="I91" s="55">
        <f t="shared" si="32"/>
        <v>3213.2203923522243</v>
      </c>
      <c r="J91" s="55">
        <f t="shared" si="32"/>
        <v>3534.542431587447</v>
      </c>
      <c r="K91" s="55">
        <f t="shared" si="32"/>
        <v>3887.9966747461922</v>
      </c>
      <c r="L91" s="55">
        <f t="shared" si="32"/>
        <v>4276.7963422208113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2.5">
      <c r="A92" s="168">
        <v>148</v>
      </c>
      <c r="B92" s="70" t="s">
        <v>160</v>
      </c>
      <c r="C92" s="162">
        <f>1746.44*D83</f>
        <v>1830.793052</v>
      </c>
      <c r="D92" s="162">
        <f t="shared" ref="D92:L92" si="33">C92*1.1</f>
        <v>2013.8723572000001</v>
      </c>
      <c r="E92" s="162">
        <f t="shared" si="33"/>
        <v>2215.2595929200002</v>
      </c>
      <c r="F92" s="162">
        <f t="shared" si="33"/>
        <v>2436.7855522120003</v>
      </c>
      <c r="G92" s="162">
        <f t="shared" si="33"/>
        <v>2680.4641074332008</v>
      </c>
      <c r="H92" s="162">
        <f t="shared" si="33"/>
        <v>2948.5105181765211</v>
      </c>
      <c r="I92" s="162">
        <f t="shared" si="33"/>
        <v>3243.3615699941734</v>
      </c>
      <c r="J92" s="162">
        <f t="shared" si="33"/>
        <v>3567.697726993591</v>
      </c>
      <c r="K92" s="162">
        <f t="shared" si="33"/>
        <v>3924.4674996929502</v>
      </c>
      <c r="L92" s="162">
        <f t="shared" si="33"/>
        <v>4316.9142496622453</v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2.5">
      <c r="A93" s="161"/>
      <c r="B93" s="70" t="s">
        <v>161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2.5">
      <c r="A94" s="71">
        <v>149</v>
      </c>
      <c r="B94" s="72" t="s">
        <v>162</v>
      </c>
      <c r="C94" s="55">
        <f>1795.38*D83</f>
        <v>1882.0968540000001</v>
      </c>
      <c r="D94" s="55">
        <f t="shared" ref="D94:L94" si="34">C94*1.1</f>
        <v>2070.3065394000005</v>
      </c>
      <c r="E94" s="55">
        <f t="shared" si="34"/>
        <v>2277.3371933400008</v>
      </c>
      <c r="F94" s="55">
        <f t="shared" si="34"/>
        <v>2505.0709126740012</v>
      </c>
      <c r="G94" s="55">
        <f t="shared" si="34"/>
        <v>2755.5780039414017</v>
      </c>
      <c r="H94" s="55">
        <f t="shared" si="34"/>
        <v>3031.1358043355422</v>
      </c>
      <c r="I94" s="55">
        <f t="shared" si="34"/>
        <v>3334.2493847690967</v>
      </c>
      <c r="J94" s="55">
        <f t="shared" si="34"/>
        <v>3667.6743232460067</v>
      </c>
      <c r="K94" s="55">
        <f t="shared" si="34"/>
        <v>4034.4417555706077</v>
      </c>
      <c r="L94" s="55">
        <f t="shared" si="34"/>
        <v>4437.8859311276692</v>
      </c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2.5">
      <c r="A95" s="168">
        <v>150</v>
      </c>
      <c r="B95" s="70" t="s">
        <v>163</v>
      </c>
      <c r="C95" s="162">
        <f>1871.49*D83</f>
        <v>1961.882967</v>
      </c>
      <c r="D95" s="162">
        <f t="shared" ref="D95:L95" si="35">C95*1.1</f>
        <v>2158.0712637000001</v>
      </c>
      <c r="E95" s="162">
        <f t="shared" si="35"/>
        <v>2373.8783900700005</v>
      </c>
      <c r="F95" s="162">
        <f t="shared" si="35"/>
        <v>2611.2662290770008</v>
      </c>
      <c r="G95" s="162">
        <f t="shared" si="35"/>
        <v>2872.3928519847013</v>
      </c>
      <c r="H95" s="162">
        <f t="shared" si="35"/>
        <v>3159.6321371831718</v>
      </c>
      <c r="I95" s="162">
        <f t="shared" si="35"/>
        <v>3475.5953509014894</v>
      </c>
      <c r="J95" s="162">
        <f t="shared" si="35"/>
        <v>3823.1548859916388</v>
      </c>
      <c r="K95" s="162">
        <f t="shared" si="35"/>
        <v>4205.4703745908027</v>
      </c>
      <c r="L95" s="162">
        <f t="shared" si="35"/>
        <v>4626.0174120498832</v>
      </c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2.5">
      <c r="A96" s="161"/>
      <c r="B96" s="70" t="s">
        <v>164</v>
      </c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2.5">
      <c r="A97" s="71">
        <v>161</v>
      </c>
      <c r="B97" s="72" t="s">
        <v>165</v>
      </c>
      <c r="C97" s="55">
        <f>3139.49*D83</f>
        <v>3291.1273669999996</v>
      </c>
      <c r="D97" s="55">
        <f t="shared" ref="D97:L97" si="36">C97*1.1</f>
        <v>3620.2401037</v>
      </c>
      <c r="E97" s="55">
        <f t="shared" si="36"/>
        <v>3982.2641140700002</v>
      </c>
      <c r="F97" s="55">
        <f t="shared" si="36"/>
        <v>4380.490525477001</v>
      </c>
      <c r="G97" s="55">
        <f t="shared" si="36"/>
        <v>4818.5395780247018</v>
      </c>
      <c r="H97" s="55">
        <f t="shared" si="36"/>
        <v>5300.3935358271719</v>
      </c>
      <c r="I97" s="55">
        <f t="shared" si="36"/>
        <v>5830.4328894098899</v>
      </c>
      <c r="J97" s="55">
        <f t="shared" si="36"/>
        <v>6413.4761783508793</v>
      </c>
      <c r="K97" s="55">
        <f t="shared" si="36"/>
        <v>7054.8237961859677</v>
      </c>
      <c r="L97" s="55">
        <f t="shared" si="36"/>
        <v>7760.3061758045651</v>
      </c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2.5">
      <c r="A98" s="69">
        <v>151</v>
      </c>
      <c r="B98" s="70" t="s">
        <v>166</v>
      </c>
      <c r="C98" s="57">
        <f>3139.49*D83</f>
        <v>3291.1273669999996</v>
      </c>
      <c r="D98" s="57">
        <f t="shared" ref="D98:L98" si="37">C98*1.1</f>
        <v>3620.2401037</v>
      </c>
      <c r="E98" s="57">
        <f t="shared" si="37"/>
        <v>3982.2641140700002</v>
      </c>
      <c r="F98" s="57">
        <f t="shared" si="37"/>
        <v>4380.490525477001</v>
      </c>
      <c r="G98" s="57">
        <f t="shared" si="37"/>
        <v>4818.5395780247018</v>
      </c>
      <c r="H98" s="57">
        <f t="shared" si="37"/>
        <v>5300.3935358271719</v>
      </c>
      <c r="I98" s="57">
        <f t="shared" si="37"/>
        <v>5830.4328894098899</v>
      </c>
      <c r="J98" s="57">
        <f t="shared" si="37"/>
        <v>6413.4761783508793</v>
      </c>
      <c r="K98" s="57">
        <f t="shared" si="37"/>
        <v>7054.8237961859677</v>
      </c>
      <c r="L98" s="57">
        <f t="shared" si="37"/>
        <v>7760.3061758045651</v>
      </c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2.5">
      <c r="A99" s="71">
        <v>152</v>
      </c>
      <c r="B99" s="72" t="s">
        <v>167</v>
      </c>
      <c r="C99" s="160">
        <f>3968.86*D83</f>
        <v>4160.5559380000004</v>
      </c>
      <c r="D99" s="160">
        <f t="shared" ref="D99:L99" si="38">C99*1.1</f>
        <v>4576.6115318000011</v>
      </c>
      <c r="E99" s="160">
        <f t="shared" si="38"/>
        <v>5034.2726849800019</v>
      </c>
      <c r="F99" s="160">
        <f t="shared" si="38"/>
        <v>5537.6999534780025</v>
      </c>
      <c r="G99" s="160">
        <f t="shared" si="38"/>
        <v>6091.4699488258029</v>
      </c>
      <c r="H99" s="160">
        <f t="shared" si="38"/>
        <v>6700.6169437083836</v>
      </c>
      <c r="I99" s="160">
        <f t="shared" si="38"/>
        <v>7370.6786380792228</v>
      </c>
      <c r="J99" s="160">
        <f t="shared" si="38"/>
        <v>8107.7465018871453</v>
      </c>
      <c r="K99" s="160">
        <f t="shared" si="38"/>
        <v>8918.5211520758603</v>
      </c>
      <c r="L99" s="160">
        <f t="shared" si="38"/>
        <v>9810.3732672834467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2.5">
      <c r="A100" s="170">
        <v>153</v>
      </c>
      <c r="B100" s="72" t="s">
        <v>168</v>
      </c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2.5">
      <c r="A101" s="163"/>
      <c r="B101" s="72" t="s">
        <v>169</v>
      </c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2.5">
      <c r="A102" s="161"/>
      <c r="B102" s="72" t="s">
        <v>170</v>
      </c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2.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2.5">
      <c r="A104" s="73" t="s">
        <v>8</v>
      </c>
      <c r="B104" s="73" t="s">
        <v>66</v>
      </c>
      <c r="C104" s="74">
        <v>2024</v>
      </c>
      <c r="D104" s="75">
        <v>4.8300000000000003E-2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3">
      <c r="A105" s="76">
        <v>1</v>
      </c>
      <c r="B105" s="77" t="s">
        <v>171</v>
      </c>
      <c r="C105" s="78">
        <v>1506.18</v>
      </c>
      <c r="D105" s="78">
        <f t="shared" ref="D105:D110" si="39">C105*1.0483</f>
        <v>1578.928494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3">
      <c r="A106" s="76">
        <v>2</v>
      </c>
      <c r="B106" s="77" t="s">
        <v>172</v>
      </c>
      <c r="C106" s="78">
        <v>1228.92</v>
      </c>
      <c r="D106" s="78">
        <f t="shared" si="39"/>
        <v>1288.276836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3">
      <c r="A107" s="76">
        <v>3</v>
      </c>
      <c r="B107" s="77" t="s">
        <v>173</v>
      </c>
      <c r="C107" s="76">
        <v>989.34</v>
      </c>
      <c r="D107" s="78">
        <f t="shared" si="39"/>
        <v>1037.1251220000001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3">
      <c r="A108" s="76">
        <v>4</v>
      </c>
      <c r="B108" s="77" t="s">
        <v>174</v>
      </c>
      <c r="C108" s="76">
        <v>899.21</v>
      </c>
      <c r="D108" s="78">
        <f t="shared" si="39"/>
        <v>942.64184299999999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3">
      <c r="A109" s="76">
        <v>5</v>
      </c>
      <c r="B109" s="77" t="s">
        <v>175</v>
      </c>
      <c r="C109" s="78">
        <v>1506.18</v>
      </c>
      <c r="D109" s="78">
        <f t="shared" si="39"/>
        <v>1578.928494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3">
      <c r="A110" s="79">
        <v>6</v>
      </c>
      <c r="B110" s="80" t="s">
        <v>176</v>
      </c>
      <c r="C110" s="81">
        <v>1228.92</v>
      </c>
      <c r="D110" s="78">
        <f t="shared" si="39"/>
        <v>1288.276836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2.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2.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24">
      <c r="A113" s="82" t="s">
        <v>177</v>
      </c>
      <c r="B113" s="82" t="s">
        <v>178</v>
      </c>
      <c r="C113" s="82" t="s">
        <v>179</v>
      </c>
      <c r="D113" s="82" t="s">
        <v>180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3">
      <c r="A114" s="83">
        <v>1</v>
      </c>
      <c r="B114" s="84">
        <v>1773.41</v>
      </c>
      <c r="C114" s="84">
        <v>8301.48</v>
      </c>
      <c r="D114" s="84">
        <v>6255.86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3">
      <c r="A115" s="85">
        <v>4.8300000000000003E-2</v>
      </c>
      <c r="B115" s="86">
        <f>B114*COMISSIONADOS!E44</f>
        <v>1859.0657030000002</v>
      </c>
      <c r="C115" s="86">
        <f>C114*COMISSIONADOS!E44</f>
        <v>8702.441483999999</v>
      </c>
      <c r="D115" s="86">
        <f>D114*COMISSIONADOS!E44</f>
        <v>6558.0180380000002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3">
      <c r="A116" s="169" t="s">
        <v>40</v>
      </c>
      <c r="B116" s="134"/>
      <c r="C116" s="18" t="s">
        <v>41</v>
      </c>
      <c r="D116" s="19">
        <v>1.0483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2.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2.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2.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2.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2.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2.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2.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2.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2.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2.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2.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2.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2.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2.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2.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2.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2.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2.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2.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2.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2.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2.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2.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2.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2.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2.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2.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2.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2.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2.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2.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2.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2.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2.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2.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2.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2.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2.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2.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2.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2.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2.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2.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2.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2.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2.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2.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2.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2.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2.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2.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2.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2.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2.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2.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2.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2.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2.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2.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2.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2.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2.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2.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2.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2.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2.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2.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2.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2.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2.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2.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2.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2.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2.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2.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2.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2.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2.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2.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2.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2.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2.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2.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2.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2.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2.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2.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2.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2.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2.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2.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2.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2.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2.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2.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2.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2.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2.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2.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2.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2.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2.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2.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2.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2.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2.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2.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2.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2.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2.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2.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2.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2.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2.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2.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2.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2.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2.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2.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2.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2.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2.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2.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2.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2.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2.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2.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2.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2.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2.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2.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2.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2.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2.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2.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2.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2.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2.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2.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2.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2.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2.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2.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2.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2.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2.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2.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2.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2.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2.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2.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2.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2.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2.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2.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2.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2.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2.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2.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2.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2.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2.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2.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2.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2.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2.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2.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2.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2.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2.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2.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2.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2.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2.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2.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2.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2.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2.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2.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2.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2.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2.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2.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2.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2.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2.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2.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2.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2.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2.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2.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2.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2.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2.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2.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2.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2.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2.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2.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2.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2.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2.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2.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2.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2.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2.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2.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2.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2.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2.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2.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2.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2.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2.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2.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2.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2.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2.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2.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2.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2.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2.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2.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2.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2.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2.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2.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2.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2.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2.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2.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2.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2.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2.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2.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2.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2.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2.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2.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2.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2.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2.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2.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2.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2.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2.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2.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2.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2.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2.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2.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2.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2.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2.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2.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2.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2.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2.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2.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2.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2.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2.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2.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2.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2.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2.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2.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2.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2.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2.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2.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2.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2.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2.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2.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2.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2.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2.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2.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2.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2.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2.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2.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2.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2.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2.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2.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2.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2.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2.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2.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2.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2.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2.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2.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2.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2.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2.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2.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2.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2.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2.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2.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2.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2.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2.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2.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2.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2.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2.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2.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2.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2.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2.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2.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2.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2.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2.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2.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2.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2.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2.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2.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2.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2.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2.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2.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2.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2.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2.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2.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2.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2.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2.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2.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2.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2.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2.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2.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2.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2.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2.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2.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2.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2.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2.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2.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2.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2.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2.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2.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2.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2.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2.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2.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2.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2.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2.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2.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2.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2.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2.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2.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2.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2.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2.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2.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2.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2.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2.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2.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2.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2.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2.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2.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2.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2.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2.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2.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2.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2.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2.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2.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2.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2.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2.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2.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2.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2.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2.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2.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2.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2.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2.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2.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2.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2.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2.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2.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2.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2.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2.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2.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2.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2.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2.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2.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2.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2.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2.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2.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2.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2.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2.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2.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2.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2.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2.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2.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2.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2.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2.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2.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2.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2.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2.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2.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2.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2.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2.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2.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2.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2.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2.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2.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2.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2.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2.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2.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2.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2.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2.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2.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2.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2.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2.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2.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2.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2.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2.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2.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2.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2.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2.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2.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2.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2.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2.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2.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2.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2.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2.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2.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2.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2.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2.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2.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2.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2.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2.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2.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2.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2.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2.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2.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2.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2.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2.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2.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2.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2.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2.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2.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2.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2.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2.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2.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2.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2.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2.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2.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2.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2.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2.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2.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2.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2.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2.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2.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2.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2.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2.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2.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2.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2.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2.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2.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2.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2.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2.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2.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2.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2.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2.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2.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2.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2.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2.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2.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2.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2.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2.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2.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2.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2.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2.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2.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2.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2.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2.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2.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2.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2.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2.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2.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2.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2.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2.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2.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2.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2.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2.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2.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2.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2.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2.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2.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2.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2.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2.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2.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2.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2.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2.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2.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2.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2.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2.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2.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2.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2.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2.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2.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2.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2.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2.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2.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2.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2.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2.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2.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2.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2.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2.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2.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2.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2.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2.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2.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2.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2.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2.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2.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2.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2.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2.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2.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2.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2.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2.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2.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2.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2.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2.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2.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2.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2.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2.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2.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2.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2.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2.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2.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2.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2.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2.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2.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2.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2.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2.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2.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2.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2.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2.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2.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2.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2.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2.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2.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2.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2.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2.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2.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2.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2.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2.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2.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2.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2.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2.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2.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2.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2.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2.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2.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2.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2.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2.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2.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2.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2.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2.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2.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2.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2.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2.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2.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2.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2.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2.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2.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2.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2.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2.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2.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2.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2.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2.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2.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2.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2.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2.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2.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2.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2.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2.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2.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2.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2.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2.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2.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2.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2.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2.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2.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2.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2.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2.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2.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2.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2.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2.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2.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2.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2.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2.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2.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2.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2.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2.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2.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2.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2.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2.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2.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2.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2.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2.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2.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2.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2.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2.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2.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2.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2.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2.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2.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2.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2.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2.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2.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2.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2.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2.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2.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2.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2.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2.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2.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2.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2.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2.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2.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2.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2.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2.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2.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2.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2.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2.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2.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2.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2.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2.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2.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2.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2.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2.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2.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2.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2.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2.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2.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2.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2.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2.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2.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2.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2.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2.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2.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2.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2.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2.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2.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2.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2.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2.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2.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2.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2.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2.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2.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2.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2.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2.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2.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2.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2.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2.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2.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2.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2.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2.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2.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2.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2.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2.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2.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2.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2.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2.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2.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2.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2.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2.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2.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2.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2.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2.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2.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2.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2.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2.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2.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2.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2.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2.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2.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2.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2.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2.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2.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2.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2.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2.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2.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2.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2.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2.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2.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2.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2.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2.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2.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2.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2.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2.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2.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2.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2.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2.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2.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2.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2.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2.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2.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2.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2.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2.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2.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2.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2.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2.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2.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2.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2.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2.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2.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2.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2.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2.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2.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2.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2.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2.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2.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2.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2.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2.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2.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2.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2.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2.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2.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2.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2.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2.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2.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2.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2.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224">
    <mergeCell ref="F86:F87"/>
    <mergeCell ref="G86:G87"/>
    <mergeCell ref="K60:K61"/>
    <mergeCell ref="L60:L61"/>
    <mergeCell ref="D62:D63"/>
    <mergeCell ref="E62:E63"/>
    <mergeCell ref="F62:F63"/>
    <mergeCell ref="G62:G63"/>
    <mergeCell ref="A79:L79"/>
    <mergeCell ref="A80:L80"/>
    <mergeCell ref="A82:L82"/>
    <mergeCell ref="C60:C61"/>
    <mergeCell ref="C62:C63"/>
    <mergeCell ref="A56:A57"/>
    <mergeCell ref="D56:D57"/>
    <mergeCell ref="E56:E57"/>
    <mergeCell ref="F56:F57"/>
    <mergeCell ref="G56:G57"/>
    <mergeCell ref="H56:H57"/>
    <mergeCell ref="A58:A59"/>
    <mergeCell ref="I60:I61"/>
    <mergeCell ref="J60:J61"/>
    <mergeCell ref="A116:B116"/>
    <mergeCell ref="J99:J102"/>
    <mergeCell ref="K99:K102"/>
    <mergeCell ref="L99:L102"/>
    <mergeCell ref="C99:C102"/>
    <mergeCell ref="D99:D102"/>
    <mergeCell ref="E99:E102"/>
    <mergeCell ref="F99:F102"/>
    <mergeCell ref="G99:G102"/>
    <mergeCell ref="H99:H102"/>
    <mergeCell ref="I99:I102"/>
    <mergeCell ref="A100:A102"/>
    <mergeCell ref="G95:G96"/>
    <mergeCell ref="H95:H96"/>
    <mergeCell ref="I95:I96"/>
    <mergeCell ref="J95:J96"/>
    <mergeCell ref="K95:K96"/>
    <mergeCell ref="L95:L96"/>
    <mergeCell ref="D92:D93"/>
    <mergeCell ref="E92:E93"/>
    <mergeCell ref="A95:A96"/>
    <mergeCell ref="C95:C96"/>
    <mergeCell ref="D95:D96"/>
    <mergeCell ref="E95:E96"/>
    <mergeCell ref="F95:F96"/>
    <mergeCell ref="J62:J63"/>
    <mergeCell ref="K62:K63"/>
    <mergeCell ref="L62:L63"/>
    <mergeCell ref="C73:L73"/>
    <mergeCell ref="A78:L78"/>
    <mergeCell ref="F92:F93"/>
    <mergeCell ref="G92:G93"/>
    <mergeCell ref="H92:H93"/>
    <mergeCell ref="I92:I93"/>
    <mergeCell ref="J92:J93"/>
    <mergeCell ref="K92:K93"/>
    <mergeCell ref="H86:H87"/>
    <mergeCell ref="I86:I87"/>
    <mergeCell ref="J86:J87"/>
    <mergeCell ref="K86:K87"/>
    <mergeCell ref="L86:L87"/>
    <mergeCell ref="A92:A93"/>
    <mergeCell ref="C92:C93"/>
    <mergeCell ref="L92:L93"/>
    <mergeCell ref="A83:B83"/>
    <mergeCell ref="K83:L83"/>
    <mergeCell ref="C86:C87"/>
    <mergeCell ref="D86:D87"/>
    <mergeCell ref="E86:E87"/>
    <mergeCell ref="A60:A61"/>
    <mergeCell ref="D60:D61"/>
    <mergeCell ref="E60:E61"/>
    <mergeCell ref="F60:F61"/>
    <mergeCell ref="G60:G61"/>
    <mergeCell ref="H60:H61"/>
    <mergeCell ref="A62:A63"/>
    <mergeCell ref="H62:H63"/>
    <mergeCell ref="I62:I63"/>
    <mergeCell ref="I56:I57"/>
    <mergeCell ref="J56:J57"/>
    <mergeCell ref="K56:K57"/>
    <mergeCell ref="L56:L57"/>
    <mergeCell ref="C56:C57"/>
    <mergeCell ref="C58:C59"/>
    <mergeCell ref="D58:D59"/>
    <mergeCell ref="E58:E59"/>
    <mergeCell ref="H58:H59"/>
    <mergeCell ref="I58:I59"/>
    <mergeCell ref="J58:J59"/>
    <mergeCell ref="K58:K59"/>
    <mergeCell ref="L58:L59"/>
    <mergeCell ref="F58:F59"/>
    <mergeCell ref="G58:G59"/>
    <mergeCell ref="C46:C50"/>
    <mergeCell ref="C52:C55"/>
    <mergeCell ref="F52:F55"/>
    <mergeCell ref="G52:G55"/>
    <mergeCell ref="A43:A45"/>
    <mergeCell ref="A46:A50"/>
    <mergeCell ref="D46:D50"/>
    <mergeCell ref="E46:E50"/>
    <mergeCell ref="F46:F50"/>
    <mergeCell ref="G46:G50"/>
    <mergeCell ref="A52:A55"/>
    <mergeCell ref="H46:H50"/>
    <mergeCell ref="I46:I50"/>
    <mergeCell ref="J46:J50"/>
    <mergeCell ref="K46:K50"/>
    <mergeCell ref="L46:L50"/>
    <mergeCell ref="D52:D55"/>
    <mergeCell ref="E52:E55"/>
    <mergeCell ref="H52:H55"/>
    <mergeCell ref="I52:I55"/>
    <mergeCell ref="J52:J55"/>
    <mergeCell ref="K52:K55"/>
    <mergeCell ref="L52:L55"/>
    <mergeCell ref="G36:G45"/>
    <mergeCell ref="H36:H45"/>
    <mergeCell ref="I36:I45"/>
    <mergeCell ref="J36:J45"/>
    <mergeCell ref="K36:K45"/>
    <mergeCell ref="L36:L45"/>
    <mergeCell ref="C27:C30"/>
    <mergeCell ref="C31:C35"/>
    <mergeCell ref="A36:A41"/>
    <mergeCell ref="C36:C45"/>
    <mergeCell ref="D36:D45"/>
    <mergeCell ref="E36:E45"/>
    <mergeCell ref="F36:F45"/>
    <mergeCell ref="A27:A29"/>
    <mergeCell ref="D27:D30"/>
    <mergeCell ref="E27:E30"/>
    <mergeCell ref="F27:F30"/>
    <mergeCell ref="G27:G30"/>
    <mergeCell ref="H27:H30"/>
    <mergeCell ref="A31:A34"/>
    <mergeCell ref="K31:K35"/>
    <mergeCell ref="L31:L35"/>
    <mergeCell ref="D31:D35"/>
    <mergeCell ref="E31:E35"/>
    <mergeCell ref="F31:F35"/>
    <mergeCell ref="G31:G35"/>
    <mergeCell ref="H31:H35"/>
    <mergeCell ref="I31:I35"/>
    <mergeCell ref="J31:J35"/>
    <mergeCell ref="I21:I22"/>
    <mergeCell ref="J21:J22"/>
    <mergeCell ref="K21:K22"/>
    <mergeCell ref="L21:L22"/>
    <mergeCell ref="I23:I26"/>
    <mergeCell ref="J23:J26"/>
    <mergeCell ref="K23:K26"/>
    <mergeCell ref="L23:L26"/>
    <mergeCell ref="I27:I30"/>
    <mergeCell ref="J27:J30"/>
    <mergeCell ref="K27:K30"/>
    <mergeCell ref="L27:L30"/>
    <mergeCell ref="C23:C26"/>
    <mergeCell ref="D23:D26"/>
    <mergeCell ref="E23:E26"/>
    <mergeCell ref="F23:F26"/>
    <mergeCell ref="G23:G26"/>
    <mergeCell ref="H23:H26"/>
    <mergeCell ref="A19:A20"/>
    <mergeCell ref="A21:A22"/>
    <mergeCell ref="D21:D22"/>
    <mergeCell ref="E21:E22"/>
    <mergeCell ref="F21:F22"/>
    <mergeCell ref="G21:G22"/>
    <mergeCell ref="A23:A24"/>
    <mergeCell ref="C17:C20"/>
    <mergeCell ref="D17:D20"/>
    <mergeCell ref="E17:E20"/>
    <mergeCell ref="F17:F20"/>
    <mergeCell ref="G17:G20"/>
    <mergeCell ref="H17:H20"/>
    <mergeCell ref="H21:H22"/>
    <mergeCell ref="L10:L14"/>
    <mergeCell ref="A8:A9"/>
    <mergeCell ref="D8:D9"/>
    <mergeCell ref="E8:E9"/>
    <mergeCell ref="F8:F9"/>
    <mergeCell ref="G8:G9"/>
    <mergeCell ref="H8:H9"/>
    <mergeCell ref="A10:A14"/>
    <mergeCell ref="C21:C22"/>
    <mergeCell ref="I15:I16"/>
    <mergeCell ref="J15:J16"/>
    <mergeCell ref="K15:K16"/>
    <mergeCell ref="L15:L16"/>
    <mergeCell ref="A15:A16"/>
    <mergeCell ref="C15:C16"/>
    <mergeCell ref="D15:D16"/>
    <mergeCell ref="E15:E16"/>
    <mergeCell ref="F15:F16"/>
    <mergeCell ref="G15:G16"/>
    <mergeCell ref="H15:H16"/>
    <mergeCell ref="J17:J20"/>
    <mergeCell ref="K17:K20"/>
    <mergeCell ref="L17:L20"/>
    <mergeCell ref="I17:I20"/>
    <mergeCell ref="C10:C14"/>
    <mergeCell ref="D10:D14"/>
    <mergeCell ref="E10:E14"/>
    <mergeCell ref="F10:F14"/>
    <mergeCell ref="G10:G14"/>
    <mergeCell ref="H10:H14"/>
    <mergeCell ref="I10:I14"/>
    <mergeCell ref="J10:J14"/>
    <mergeCell ref="K10:K14"/>
    <mergeCell ref="A1:L1"/>
    <mergeCell ref="A2:L2"/>
    <mergeCell ref="A3:L3"/>
    <mergeCell ref="A5:L5"/>
    <mergeCell ref="A6:B6"/>
    <mergeCell ref="K6:L6"/>
    <mergeCell ref="N6:P6"/>
    <mergeCell ref="I8:I9"/>
    <mergeCell ref="J8:J9"/>
    <mergeCell ref="K8:K9"/>
    <mergeCell ref="L8:L9"/>
    <mergeCell ref="C8:C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67"/>
  <sheetViews>
    <sheetView workbookViewId="0">
      <selection sqref="A1:L1"/>
    </sheetView>
  </sheetViews>
  <sheetFormatPr defaultColWidth="12.6328125" defaultRowHeight="15.75" customHeight="1"/>
  <cols>
    <col min="2" max="2" width="29" customWidth="1"/>
    <col min="3" max="3" width="16.453125" customWidth="1"/>
    <col min="4" max="4" width="15.08984375" customWidth="1"/>
    <col min="5" max="5" width="15" customWidth="1"/>
    <col min="6" max="6" width="13.6328125" customWidth="1"/>
    <col min="7" max="7" width="17.08984375" customWidth="1"/>
  </cols>
  <sheetData>
    <row r="1" spans="1:26">
      <c r="A1" s="171" t="s">
        <v>62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>
      <c r="A2" s="172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3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>
      <c r="A3" s="173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1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15.75" customHeight="1">
      <c r="A4" s="88"/>
      <c r="B4" s="89"/>
      <c r="C4" s="89"/>
      <c r="D4" s="90"/>
      <c r="E4" s="89"/>
      <c r="F4" s="89"/>
      <c r="G4" s="89"/>
      <c r="H4" s="89"/>
      <c r="I4" s="89"/>
      <c r="J4" s="89"/>
      <c r="K4" s="89"/>
      <c r="L4" s="91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>
      <c r="A5" s="174" t="s">
        <v>181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1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>
      <c r="A6" s="92" t="s">
        <v>4</v>
      </c>
      <c r="B6" s="93"/>
      <c r="C6" s="94">
        <v>6.2700000000000006E-2</v>
      </c>
      <c r="D6" s="95">
        <v>1.0627</v>
      </c>
      <c r="E6" s="96"/>
      <c r="F6" s="93"/>
      <c r="G6" s="93"/>
      <c r="H6" s="93"/>
      <c r="I6" s="93"/>
      <c r="J6" s="93"/>
      <c r="K6" s="97" t="s">
        <v>6</v>
      </c>
      <c r="L6" s="98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>
      <c r="A7" s="99" t="s">
        <v>8</v>
      </c>
      <c r="B7" s="100" t="s">
        <v>9</v>
      </c>
      <c r="C7" s="100">
        <v>1</v>
      </c>
      <c r="D7" s="100">
        <v>2</v>
      </c>
      <c r="E7" s="100">
        <v>3</v>
      </c>
      <c r="F7" s="100">
        <v>4</v>
      </c>
      <c r="G7" s="100">
        <v>5</v>
      </c>
      <c r="H7" s="100">
        <v>6</v>
      </c>
      <c r="I7" s="100">
        <v>7</v>
      </c>
      <c r="J7" s="100">
        <v>8</v>
      </c>
      <c r="K7" s="100">
        <v>9</v>
      </c>
      <c r="L7" s="100">
        <v>10</v>
      </c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>
      <c r="A8" s="101">
        <v>19</v>
      </c>
      <c r="B8" s="102" t="s">
        <v>182</v>
      </c>
      <c r="C8" s="103">
        <f>2312.38*D6</f>
        <v>2457.3662260000001</v>
      </c>
      <c r="D8" s="103">
        <f t="shared" ref="D8:L8" si="0">C8*1.1</f>
        <v>2703.1028486000005</v>
      </c>
      <c r="E8" s="103">
        <f t="shared" si="0"/>
        <v>2973.4131334600006</v>
      </c>
      <c r="F8" s="103">
        <f t="shared" si="0"/>
        <v>3270.7544468060009</v>
      </c>
      <c r="G8" s="103">
        <f t="shared" si="0"/>
        <v>3597.8298914866014</v>
      </c>
      <c r="H8" s="103">
        <f t="shared" si="0"/>
        <v>3957.6128806352617</v>
      </c>
      <c r="I8" s="103">
        <f t="shared" si="0"/>
        <v>4353.3741686987878</v>
      </c>
      <c r="J8" s="103">
        <f t="shared" si="0"/>
        <v>4788.711585568667</v>
      </c>
      <c r="K8" s="103">
        <f t="shared" si="0"/>
        <v>5267.5827441255342</v>
      </c>
      <c r="L8" s="103">
        <f t="shared" si="0"/>
        <v>5794.3410185380881</v>
      </c>
      <c r="M8" s="104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>
      <c r="A9" s="105">
        <v>20</v>
      </c>
      <c r="B9" s="106" t="s">
        <v>183</v>
      </c>
      <c r="C9" s="107">
        <f>2829.93*D6</f>
        <v>3007.3666109999999</v>
      </c>
      <c r="D9" s="107">
        <f t="shared" ref="D9:L9" si="1">C9*1.1</f>
        <v>3308.1032721000001</v>
      </c>
      <c r="E9" s="107">
        <f t="shared" si="1"/>
        <v>3638.9135993100003</v>
      </c>
      <c r="F9" s="107">
        <f t="shared" si="1"/>
        <v>4002.8049592410007</v>
      </c>
      <c r="G9" s="107">
        <f t="shared" si="1"/>
        <v>4403.0854551651009</v>
      </c>
      <c r="H9" s="107">
        <f t="shared" si="1"/>
        <v>4843.394000681611</v>
      </c>
      <c r="I9" s="107">
        <f t="shared" si="1"/>
        <v>5327.733400749773</v>
      </c>
      <c r="J9" s="107">
        <f t="shared" si="1"/>
        <v>5860.5067408247505</v>
      </c>
      <c r="K9" s="107">
        <f t="shared" si="1"/>
        <v>6446.5574149072263</v>
      </c>
      <c r="L9" s="107">
        <f t="shared" si="1"/>
        <v>7091.2131563979492</v>
      </c>
      <c r="M9" s="104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spans="1:26">
      <c r="A10" s="101">
        <v>21</v>
      </c>
      <c r="B10" s="102" t="s">
        <v>184</v>
      </c>
      <c r="C10" s="103">
        <f>3242.12*D6</f>
        <v>3445.400924</v>
      </c>
      <c r="D10" s="103">
        <f t="shared" ref="D10:L10" si="2">C10*1.1</f>
        <v>3789.9410164000005</v>
      </c>
      <c r="E10" s="103">
        <f t="shared" si="2"/>
        <v>4168.9351180400008</v>
      </c>
      <c r="F10" s="103">
        <f t="shared" si="2"/>
        <v>4585.8286298440016</v>
      </c>
      <c r="G10" s="103">
        <f t="shared" si="2"/>
        <v>5044.4114928284025</v>
      </c>
      <c r="H10" s="103">
        <f t="shared" si="2"/>
        <v>5548.8526421112429</v>
      </c>
      <c r="I10" s="103">
        <f t="shared" si="2"/>
        <v>6103.737906322368</v>
      </c>
      <c r="J10" s="103">
        <f t="shared" si="2"/>
        <v>6714.1116969546056</v>
      </c>
      <c r="K10" s="103">
        <f t="shared" si="2"/>
        <v>7385.522866650067</v>
      </c>
      <c r="L10" s="103">
        <f t="shared" si="2"/>
        <v>8124.0751533150742</v>
      </c>
      <c r="M10" s="104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>
      <c r="A11" s="105">
        <v>22</v>
      </c>
      <c r="B11" s="106" t="s">
        <v>185</v>
      </c>
      <c r="C11" s="107">
        <f>3669.37*D6</f>
        <v>3899.4394989999996</v>
      </c>
      <c r="D11" s="107">
        <f t="shared" ref="D11:L11" si="3">C11*1.1</f>
        <v>4289.3834489000001</v>
      </c>
      <c r="E11" s="107">
        <f t="shared" si="3"/>
        <v>4718.3217937900008</v>
      </c>
      <c r="F11" s="107">
        <f t="shared" si="3"/>
        <v>5190.1539731690009</v>
      </c>
      <c r="G11" s="107">
        <f t="shared" si="3"/>
        <v>5709.1693704859017</v>
      </c>
      <c r="H11" s="107">
        <f t="shared" si="3"/>
        <v>6280.0863075344923</v>
      </c>
      <c r="I11" s="107">
        <f t="shared" si="3"/>
        <v>6908.0949382879426</v>
      </c>
      <c r="J11" s="107">
        <f t="shared" si="3"/>
        <v>7598.9044321167376</v>
      </c>
      <c r="K11" s="107">
        <f t="shared" si="3"/>
        <v>8358.7948753284127</v>
      </c>
      <c r="L11" s="107">
        <f t="shared" si="3"/>
        <v>9194.6743628612548</v>
      </c>
      <c r="M11" s="104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>
      <c r="A12" s="101">
        <v>23</v>
      </c>
      <c r="B12" s="102" t="s">
        <v>186</v>
      </c>
      <c r="C12" s="103">
        <f>5493.61*D6</f>
        <v>5838.0593469999994</v>
      </c>
      <c r="D12" s="103">
        <f t="shared" ref="D12:L12" si="4">C12*1.1</f>
        <v>6421.8652817000002</v>
      </c>
      <c r="E12" s="103">
        <f t="shared" si="4"/>
        <v>7064.0518098700004</v>
      </c>
      <c r="F12" s="103">
        <f t="shared" si="4"/>
        <v>7770.4569908570011</v>
      </c>
      <c r="G12" s="103">
        <f t="shared" si="4"/>
        <v>8547.5026899427012</v>
      </c>
      <c r="H12" s="103">
        <f t="shared" si="4"/>
        <v>9402.2529589369715</v>
      </c>
      <c r="I12" s="103">
        <f t="shared" si="4"/>
        <v>10342.47825483067</v>
      </c>
      <c r="J12" s="103">
        <f t="shared" si="4"/>
        <v>11376.726080313738</v>
      </c>
      <c r="K12" s="103">
        <f t="shared" si="4"/>
        <v>12514.398688345113</v>
      </c>
      <c r="L12" s="103">
        <f t="shared" si="4"/>
        <v>13765.838557179624</v>
      </c>
      <c r="M12" s="104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>
      <c r="A13" s="105">
        <v>25</v>
      </c>
      <c r="B13" s="106" t="s">
        <v>187</v>
      </c>
      <c r="C13" s="107">
        <f>3242.12*D6</f>
        <v>3445.400924</v>
      </c>
      <c r="D13" s="107">
        <f t="shared" ref="D13:L13" si="5">C13*1.1</f>
        <v>3789.9410164000005</v>
      </c>
      <c r="E13" s="107">
        <f t="shared" si="5"/>
        <v>4168.9351180400008</v>
      </c>
      <c r="F13" s="107">
        <f t="shared" si="5"/>
        <v>4585.8286298440016</v>
      </c>
      <c r="G13" s="107">
        <f t="shared" si="5"/>
        <v>5044.4114928284025</v>
      </c>
      <c r="H13" s="107">
        <f t="shared" si="5"/>
        <v>5548.8526421112429</v>
      </c>
      <c r="I13" s="107">
        <f t="shared" si="5"/>
        <v>6103.737906322368</v>
      </c>
      <c r="J13" s="107">
        <f t="shared" si="5"/>
        <v>6714.1116969546056</v>
      </c>
      <c r="K13" s="107">
        <f t="shared" si="5"/>
        <v>7385.522866650067</v>
      </c>
      <c r="L13" s="107">
        <f t="shared" si="5"/>
        <v>8124.0751533150742</v>
      </c>
      <c r="M13" s="104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>
      <c r="A14" s="101">
        <v>66</v>
      </c>
      <c r="B14" s="102" t="s">
        <v>188</v>
      </c>
      <c r="C14" s="103">
        <f>3840.07*D6</f>
        <v>4080.8423889999999</v>
      </c>
      <c r="D14" s="103">
        <f t="shared" ref="D14:L14" si="6">C14*1.1</f>
        <v>4488.9266279000003</v>
      </c>
      <c r="E14" s="103">
        <f t="shared" si="6"/>
        <v>4937.8192906900003</v>
      </c>
      <c r="F14" s="103">
        <f t="shared" si="6"/>
        <v>5431.6012197590007</v>
      </c>
      <c r="G14" s="103">
        <f t="shared" si="6"/>
        <v>5974.7613417349012</v>
      </c>
      <c r="H14" s="103">
        <f t="shared" si="6"/>
        <v>6572.2374759083914</v>
      </c>
      <c r="I14" s="103">
        <f t="shared" si="6"/>
        <v>7229.461223499231</v>
      </c>
      <c r="J14" s="103">
        <f t="shared" si="6"/>
        <v>7952.4073458491548</v>
      </c>
      <c r="K14" s="103">
        <f t="shared" si="6"/>
        <v>8747.6480804340717</v>
      </c>
      <c r="L14" s="103">
        <f t="shared" si="6"/>
        <v>9622.41288847748</v>
      </c>
      <c r="M14" s="104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>
      <c r="A15" s="105">
        <v>40</v>
      </c>
      <c r="B15" s="106" t="s">
        <v>189</v>
      </c>
      <c r="C15" s="107">
        <f>5659.92*D6</f>
        <v>6014.7969839999996</v>
      </c>
      <c r="D15" s="107">
        <f t="shared" ref="D15:L15" si="7">C15*1.1</f>
        <v>6616.2766824</v>
      </c>
      <c r="E15" s="107">
        <f t="shared" si="7"/>
        <v>7277.9043506400003</v>
      </c>
      <c r="F15" s="107">
        <f t="shared" si="7"/>
        <v>8005.6947857040013</v>
      </c>
      <c r="G15" s="107">
        <f t="shared" si="7"/>
        <v>8806.2642642744013</v>
      </c>
      <c r="H15" s="107">
        <f t="shared" si="7"/>
        <v>9686.8906907018427</v>
      </c>
      <c r="I15" s="107">
        <f t="shared" si="7"/>
        <v>10655.579759772028</v>
      </c>
      <c r="J15" s="107">
        <f t="shared" si="7"/>
        <v>11721.137735749233</v>
      </c>
      <c r="K15" s="107">
        <f t="shared" si="7"/>
        <v>12893.251509324156</v>
      </c>
      <c r="L15" s="107">
        <f t="shared" si="7"/>
        <v>14182.576660256573</v>
      </c>
      <c r="M15" s="104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>
      <c r="A16" s="101">
        <v>101</v>
      </c>
      <c r="B16" s="102" t="s">
        <v>190</v>
      </c>
      <c r="C16" s="103">
        <f>3119.99*D6</f>
        <v>3315.6133729999997</v>
      </c>
      <c r="D16" s="103">
        <f t="shared" ref="D16:L16" si="8">C16*1.1</f>
        <v>3647.1747102999998</v>
      </c>
      <c r="E16" s="103">
        <f t="shared" si="8"/>
        <v>4011.8921813300003</v>
      </c>
      <c r="F16" s="103">
        <f t="shared" si="8"/>
        <v>4413.0813994630007</v>
      </c>
      <c r="G16" s="103">
        <f t="shared" si="8"/>
        <v>4854.3895394093015</v>
      </c>
      <c r="H16" s="103">
        <f t="shared" si="8"/>
        <v>5339.8284933502318</v>
      </c>
      <c r="I16" s="103">
        <f t="shared" si="8"/>
        <v>5873.8113426852551</v>
      </c>
      <c r="J16" s="103">
        <f t="shared" si="8"/>
        <v>6461.1924769537809</v>
      </c>
      <c r="K16" s="103">
        <f t="shared" si="8"/>
        <v>7107.3117246491593</v>
      </c>
      <c r="L16" s="103">
        <f t="shared" si="8"/>
        <v>7818.0428971140755</v>
      </c>
      <c r="M16" s="104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>
      <c r="A17" s="105">
        <v>106</v>
      </c>
      <c r="B17" s="106" t="s">
        <v>191</v>
      </c>
      <c r="C17" s="107">
        <f>6239.96*D6</f>
        <v>6631.205492</v>
      </c>
      <c r="D17" s="107">
        <f t="shared" ref="D17:L17" si="9">C17*1.1</f>
        <v>7294.3260412000009</v>
      </c>
      <c r="E17" s="107">
        <f t="shared" si="9"/>
        <v>8023.758645320002</v>
      </c>
      <c r="F17" s="107">
        <f t="shared" si="9"/>
        <v>8826.1345098520032</v>
      </c>
      <c r="G17" s="107">
        <f t="shared" si="9"/>
        <v>9708.747960837205</v>
      </c>
      <c r="H17" s="107">
        <f t="shared" si="9"/>
        <v>10679.622756920926</v>
      </c>
      <c r="I17" s="107">
        <f t="shared" si="9"/>
        <v>11747.58503261302</v>
      </c>
      <c r="J17" s="107">
        <f t="shared" si="9"/>
        <v>12922.343535874323</v>
      </c>
      <c r="K17" s="107">
        <f t="shared" si="9"/>
        <v>14214.577889461756</v>
      </c>
      <c r="L17" s="107">
        <f t="shared" si="9"/>
        <v>15636.035678407932</v>
      </c>
      <c r="M17" s="104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ht="15.75" customHeight="1">
      <c r="A18" s="87"/>
      <c r="B18" s="108"/>
      <c r="C18" s="108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>
      <c r="A19" s="109"/>
      <c r="B19" s="100" t="s">
        <v>192</v>
      </c>
      <c r="C19" s="100" t="s">
        <v>193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>
      <c r="A20" s="109"/>
      <c r="B20" s="102" t="s">
        <v>194</v>
      </c>
      <c r="C20" s="110">
        <v>0.2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13">
      <c r="A21" s="109"/>
      <c r="B21" s="102" t="s">
        <v>195</v>
      </c>
      <c r="C21" s="110">
        <v>0.5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ht="13">
      <c r="A22" s="109"/>
      <c r="B22" s="102" t="s">
        <v>196</v>
      </c>
      <c r="C22" s="110">
        <v>1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ht="12.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ht="12.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ht="12.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ht="12.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ht="12.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ht="12.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ht="12.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ht="12.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ht="12.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ht="12.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ht="12.5">
      <c r="A33" s="87"/>
      <c r="B33" s="87"/>
      <c r="C33" s="87"/>
      <c r="D33" s="87"/>
      <c r="E33" s="87"/>
      <c r="F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ht="12.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ht="12.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12.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12.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ht="12.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1:26" ht="12.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26" ht="12.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12.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 ht="12.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12.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12.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12.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ht="12.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26" ht="12.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1:26" ht="12.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spans="1:26" ht="12.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spans="1:26" ht="12.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spans="1:26" ht="12.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ht="12.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ht="12.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ht="12.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1:26" ht="12.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12.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ht="12.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ht="12.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12.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12.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spans="1:26" ht="12.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12.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spans="1:26" ht="12.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spans="1:26" ht="12.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spans="1:26" ht="12.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spans="1:26" ht="12.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26" ht="12.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spans="1:26" ht="12.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spans="1:26" ht="12.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spans="1:26" ht="12.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spans="1:26" ht="12.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spans="1:26" ht="12.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ht="12.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ht="12.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spans="1:26" ht="12.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spans="1:26" ht="12.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spans="1:26" ht="12.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spans="1:26" ht="12.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spans="1:26" ht="12.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spans="1:26" ht="12.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spans="1:26" ht="12.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spans="1:26" ht="12.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spans="1:26" ht="12.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spans="1:26" ht="12.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spans="1:26" ht="12.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spans="1:26" ht="12.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spans="1:26" ht="12.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spans="1:26" ht="12.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1:26" ht="12.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1:26" ht="12.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spans="1:26" ht="12.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spans="1:26" ht="12.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ht="12.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spans="1:26" ht="12.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spans="1:26" ht="12.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spans="1:26" ht="12.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spans="1:26" ht="12.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spans="1:26" ht="12.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spans="1:26" ht="12.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spans="1:26" ht="12.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26" ht="12.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spans="1:26" ht="12.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spans="1:26" ht="12.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ht="12.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ht="12.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ht="12.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ht="12.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ht="12.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spans="1:26" ht="12.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spans="1:26" ht="12.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spans="1:26" ht="12.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spans="1:26" ht="12.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spans="1:26" ht="12.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ht="12.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ht="12.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spans="1:26" ht="12.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ht="12.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ht="12.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ht="12.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ht="12.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ht="12.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ht="12.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ht="12.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ht="12.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spans="1:26" ht="12.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spans="1:26" ht="12.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spans="1:26" ht="12.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spans="1:26" ht="12.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ht="12.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ht="12.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ht="12.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ht="12.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ht="12.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ht="12.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ht="12.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ht="12.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ht="12.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ht="12.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ht="12.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ht="12.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ht="12.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ht="12.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ht="12.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ht="12.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ht="12.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ht="12.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ht="12.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ht="12.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ht="12.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ht="12.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ht="12.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ht="12.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ht="12.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ht="12.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ht="12.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ht="12.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ht="12.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ht="12.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ht="12.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ht="12.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ht="12.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ht="12.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ht="12.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ht="12.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ht="12.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ht="12.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ht="12.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ht="12.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ht="12.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ht="12.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ht="12.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ht="12.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ht="12.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ht="12.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ht="12.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ht="12.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ht="12.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ht="12.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ht="12.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ht="12.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ht="12.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ht="12.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ht="12.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ht="12.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ht="12.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ht="12.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ht="12.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ht="12.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ht="12.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ht="12.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ht="12.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ht="12.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ht="12.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ht="12.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ht="12.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ht="12.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ht="12.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ht="12.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ht="12.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ht="12.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ht="12.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ht="12.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ht="12.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ht="12.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ht="12.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spans="1:26" ht="12.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spans="1:26" ht="12.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spans="1:26" ht="12.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spans="1:26" ht="12.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spans="1:26" ht="12.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spans="1:26" ht="12.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spans="1:26" ht="12.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spans="1:26" ht="12.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spans="1:26" ht="12.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spans="1:26" ht="12.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spans="1:26" ht="12.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spans="1:26" ht="12.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spans="1:26" ht="12.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spans="1:26" ht="12.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spans="1:26" ht="12.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spans="1:26" ht="12.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spans="1:26" ht="12.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spans="1:26" ht="12.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spans="1:26" ht="12.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spans="1:26" ht="12.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spans="1:26" ht="12.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spans="1:26" ht="12.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spans="1:26" ht="12.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spans="1:26" ht="12.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spans="1:26" ht="12.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spans="1:26" ht="12.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spans="1:26" ht="12.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spans="1:26" ht="12.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spans="1:26" ht="12.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spans="1:26" ht="12.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spans="1:26" ht="12.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spans="1:26" ht="12.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spans="1:26" ht="12.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spans="1:26" ht="12.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spans="1:26" ht="12.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</row>
    <row r="241" spans="1:26" ht="12.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</row>
    <row r="242" spans="1:26" ht="12.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</row>
    <row r="243" spans="1:26" ht="12.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</row>
    <row r="244" spans="1:26" ht="12.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</row>
    <row r="245" spans="1:26" ht="12.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</row>
    <row r="246" spans="1:26" ht="12.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</row>
    <row r="247" spans="1:26" ht="12.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</row>
    <row r="248" spans="1:26" ht="12.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</row>
    <row r="249" spans="1:26" ht="12.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</row>
    <row r="250" spans="1:26" ht="12.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</row>
    <row r="251" spans="1:26" ht="12.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</row>
    <row r="252" spans="1:26" ht="12.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</row>
    <row r="253" spans="1:26" ht="12.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</row>
    <row r="254" spans="1:26" ht="12.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</row>
    <row r="255" spans="1:26" ht="12.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</row>
    <row r="256" spans="1:26" ht="12.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spans="1:26" ht="12.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</row>
    <row r="258" spans="1:26" ht="12.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</row>
    <row r="259" spans="1:26" ht="12.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</row>
    <row r="260" spans="1:26" ht="12.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</row>
    <row r="261" spans="1:26" ht="12.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</row>
    <row r="262" spans="1:26" ht="12.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</row>
    <row r="263" spans="1:26" ht="12.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spans="1:26" ht="12.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</row>
    <row r="265" spans="1:26" ht="12.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</row>
    <row r="266" spans="1:26" ht="12.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</row>
    <row r="267" spans="1:26" ht="12.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</row>
    <row r="268" spans="1:26" ht="12.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spans="1:26" ht="12.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</row>
    <row r="270" spans="1:26" ht="12.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</row>
    <row r="271" spans="1:26" ht="12.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</row>
    <row r="272" spans="1:26" ht="12.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</row>
    <row r="273" spans="1:26" ht="12.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</row>
    <row r="274" spans="1:26" ht="12.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spans="1:26" ht="12.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</row>
    <row r="276" spans="1:26" ht="12.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</row>
    <row r="277" spans="1:26" ht="12.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</row>
    <row r="278" spans="1:26" ht="12.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</row>
    <row r="279" spans="1:26" ht="12.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</row>
    <row r="280" spans="1:26" ht="12.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spans="1:26" ht="12.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</row>
    <row r="282" spans="1:26" ht="12.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</row>
    <row r="283" spans="1:26" ht="12.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</row>
    <row r="284" spans="1:26" ht="12.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</row>
    <row r="285" spans="1:26" ht="12.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</row>
    <row r="286" spans="1:26" ht="12.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</row>
    <row r="287" spans="1:26" ht="12.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</row>
    <row r="288" spans="1:26" ht="12.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</row>
    <row r="289" spans="1:26" ht="12.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</row>
    <row r="290" spans="1:26" ht="12.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</row>
    <row r="291" spans="1:26" ht="12.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</row>
    <row r="292" spans="1:26" ht="12.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</row>
    <row r="293" spans="1:26" ht="12.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</row>
    <row r="294" spans="1:26" ht="12.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</row>
    <row r="295" spans="1:26" ht="12.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</row>
    <row r="296" spans="1:26" ht="12.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</row>
    <row r="297" spans="1:26" ht="12.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</row>
    <row r="298" spans="1:26" ht="12.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</row>
    <row r="299" spans="1:26" ht="12.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</row>
    <row r="300" spans="1:26" ht="12.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</row>
    <row r="301" spans="1:26" ht="12.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</row>
    <row r="302" spans="1:26" ht="12.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</row>
    <row r="303" spans="1:26" ht="12.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</row>
    <row r="304" spans="1:26" ht="12.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</row>
    <row r="305" spans="1:26" ht="12.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</row>
    <row r="306" spans="1:26" ht="12.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</row>
    <row r="307" spans="1:26" ht="12.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</row>
    <row r="308" spans="1:26" ht="12.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</row>
    <row r="309" spans="1:26" ht="12.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</row>
    <row r="310" spans="1:26" ht="12.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</row>
    <row r="311" spans="1:26" ht="12.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</row>
    <row r="312" spans="1:26" ht="12.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</row>
    <row r="313" spans="1:26" ht="12.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</row>
    <row r="314" spans="1:26" ht="12.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</row>
    <row r="315" spans="1:26" ht="12.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</row>
    <row r="316" spans="1:26" ht="12.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</row>
    <row r="317" spans="1:26" ht="12.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</row>
    <row r="318" spans="1:26" ht="12.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</row>
    <row r="319" spans="1:26" ht="12.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</row>
    <row r="320" spans="1:26" ht="12.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</row>
    <row r="321" spans="1:26" ht="12.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</row>
    <row r="322" spans="1:26" ht="12.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</row>
    <row r="323" spans="1:26" ht="12.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</row>
    <row r="324" spans="1:26" ht="12.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</row>
    <row r="325" spans="1:26" ht="12.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</row>
    <row r="326" spans="1:26" ht="12.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</row>
    <row r="327" spans="1:26" ht="12.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</row>
    <row r="328" spans="1:26" ht="12.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</row>
    <row r="329" spans="1:26" ht="12.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</row>
    <row r="330" spans="1:26" ht="12.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</row>
    <row r="331" spans="1:26" ht="12.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</row>
    <row r="332" spans="1:26" ht="12.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</row>
    <row r="333" spans="1:26" ht="12.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</row>
    <row r="334" spans="1:26" ht="12.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</row>
    <row r="335" spans="1:26" ht="12.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</row>
    <row r="336" spans="1:26" ht="12.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</row>
    <row r="337" spans="1:26" ht="12.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</row>
    <row r="338" spans="1:26" ht="12.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</row>
    <row r="339" spans="1:26" ht="12.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</row>
    <row r="340" spans="1:26" ht="12.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</row>
    <row r="341" spans="1:26" ht="12.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</row>
    <row r="342" spans="1:26" ht="12.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</row>
    <row r="343" spans="1:26" ht="12.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</row>
    <row r="344" spans="1:26" ht="12.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</row>
    <row r="345" spans="1:26" ht="12.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</row>
    <row r="346" spans="1:26" ht="12.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</row>
    <row r="347" spans="1:26" ht="12.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</row>
    <row r="348" spans="1:26" ht="12.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</row>
    <row r="349" spans="1:26" ht="12.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</row>
    <row r="350" spans="1:26" ht="12.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</row>
    <row r="351" spans="1:26" ht="12.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</row>
    <row r="352" spans="1:26" ht="12.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</row>
    <row r="353" spans="1:26" ht="12.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</row>
    <row r="354" spans="1:26" ht="12.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</row>
    <row r="355" spans="1:26" ht="12.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</row>
    <row r="356" spans="1:26" ht="12.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</row>
    <row r="357" spans="1:26" ht="12.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</row>
    <row r="358" spans="1:26" ht="12.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</row>
    <row r="359" spans="1:26" ht="12.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</row>
    <row r="360" spans="1:26" ht="12.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</row>
    <row r="361" spans="1:26" ht="12.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</row>
    <row r="362" spans="1:26" ht="12.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</row>
    <row r="363" spans="1:26" ht="12.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</row>
    <row r="364" spans="1:26" ht="12.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</row>
    <row r="365" spans="1:26" ht="12.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</row>
    <row r="366" spans="1:26" ht="12.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</row>
    <row r="367" spans="1:26" ht="12.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</row>
    <row r="368" spans="1:26" ht="12.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</row>
    <row r="369" spans="1:26" ht="12.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</row>
    <row r="370" spans="1:26" ht="12.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</row>
    <row r="371" spans="1:26" ht="12.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</row>
    <row r="372" spans="1:26" ht="12.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</row>
    <row r="373" spans="1:26" ht="12.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</row>
    <row r="374" spans="1:26" ht="12.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</row>
    <row r="375" spans="1:26" ht="12.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</row>
    <row r="376" spans="1:26" ht="12.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</row>
    <row r="377" spans="1:26" ht="12.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</row>
    <row r="378" spans="1:26" ht="12.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</row>
    <row r="379" spans="1:26" ht="12.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spans="1:26" ht="12.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</row>
    <row r="381" spans="1:26" ht="12.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</row>
    <row r="382" spans="1:26" ht="12.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</row>
    <row r="383" spans="1:26" ht="12.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</row>
    <row r="384" spans="1:26" ht="12.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</row>
    <row r="385" spans="1:26" ht="12.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</row>
    <row r="386" spans="1:26" ht="12.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</row>
    <row r="387" spans="1:26" ht="12.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</row>
    <row r="388" spans="1:26" ht="12.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</row>
    <row r="389" spans="1:26" ht="12.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</row>
    <row r="390" spans="1:26" ht="12.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</row>
    <row r="391" spans="1:26" ht="12.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</row>
    <row r="392" spans="1:26" ht="12.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</row>
    <row r="393" spans="1:26" ht="12.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</row>
    <row r="394" spans="1:26" ht="12.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</row>
    <row r="395" spans="1:26" ht="12.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</row>
    <row r="396" spans="1:26" ht="12.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</row>
    <row r="397" spans="1:26" ht="12.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</row>
    <row r="398" spans="1:26" ht="12.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</row>
    <row r="399" spans="1:26" ht="12.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</row>
    <row r="400" spans="1:26" ht="12.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spans="1:26" ht="12.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</row>
    <row r="402" spans="1:26" ht="12.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</row>
    <row r="403" spans="1:26" ht="12.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</row>
    <row r="404" spans="1:26" ht="12.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</row>
    <row r="405" spans="1:26" ht="12.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</row>
    <row r="406" spans="1:26" ht="12.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</row>
    <row r="407" spans="1:26" ht="12.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</row>
    <row r="408" spans="1:26" ht="12.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</row>
    <row r="409" spans="1:26" ht="12.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</row>
    <row r="410" spans="1:26" ht="12.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</row>
    <row r="411" spans="1:26" ht="12.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</row>
    <row r="412" spans="1:26" ht="12.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</row>
    <row r="413" spans="1:26" ht="12.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</row>
    <row r="414" spans="1:26" ht="12.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</row>
    <row r="415" spans="1:26" ht="12.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</row>
    <row r="416" spans="1:26" ht="12.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</row>
    <row r="417" spans="1:26" ht="12.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</row>
    <row r="418" spans="1:26" ht="12.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</row>
    <row r="419" spans="1:26" ht="12.5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</row>
    <row r="420" spans="1:26" ht="12.5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</row>
    <row r="421" spans="1:26" ht="12.5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spans="1:26" ht="12.5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</row>
    <row r="423" spans="1:26" ht="12.5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</row>
    <row r="424" spans="1:26" ht="12.5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</row>
    <row r="425" spans="1:26" ht="12.5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</row>
    <row r="426" spans="1:26" ht="12.5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</row>
    <row r="427" spans="1:26" ht="12.5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</row>
    <row r="428" spans="1:26" ht="12.5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</row>
    <row r="429" spans="1:26" ht="12.5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</row>
    <row r="430" spans="1:26" ht="12.5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</row>
    <row r="431" spans="1:26" ht="12.5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</row>
    <row r="432" spans="1:26" ht="12.5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</row>
    <row r="433" spans="1:26" ht="12.5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</row>
    <row r="434" spans="1:26" ht="12.5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</row>
    <row r="435" spans="1:26" ht="12.5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</row>
    <row r="436" spans="1:26" ht="12.5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</row>
    <row r="437" spans="1:26" ht="12.5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</row>
    <row r="438" spans="1:26" ht="12.5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</row>
    <row r="439" spans="1:26" ht="12.5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</row>
    <row r="440" spans="1:26" ht="12.5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</row>
    <row r="441" spans="1:26" ht="12.5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</row>
    <row r="442" spans="1:26" ht="12.5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spans="1:26" ht="12.5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</row>
    <row r="444" spans="1:26" ht="12.5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</row>
    <row r="445" spans="1:26" ht="12.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</row>
    <row r="446" spans="1:26" ht="12.5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</row>
    <row r="447" spans="1:26" ht="12.5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</row>
    <row r="448" spans="1:26" ht="12.5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</row>
    <row r="449" spans="1:26" ht="12.5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</row>
    <row r="450" spans="1:26" ht="12.5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</row>
    <row r="451" spans="1:26" ht="12.5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</row>
    <row r="452" spans="1:26" ht="12.5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</row>
    <row r="453" spans="1:26" ht="12.5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</row>
    <row r="454" spans="1:26" ht="12.5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</row>
    <row r="455" spans="1:26" ht="12.5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</row>
    <row r="456" spans="1:26" ht="12.5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</row>
    <row r="457" spans="1:26" ht="12.5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</row>
    <row r="458" spans="1:26" ht="12.5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</row>
    <row r="459" spans="1:26" ht="12.5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</row>
    <row r="460" spans="1:26" ht="12.5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</row>
    <row r="461" spans="1:26" ht="12.5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</row>
    <row r="462" spans="1:26" ht="12.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</row>
    <row r="463" spans="1:26" ht="12.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spans="1:26" ht="12.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</row>
    <row r="465" spans="1:26" ht="12.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</row>
    <row r="466" spans="1:26" ht="12.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</row>
    <row r="467" spans="1:26" ht="12.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</row>
    <row r="468" spans="1:26" ht="12.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</row>
    <row r="469" spans="1:26" ht="12.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</row>
    <row r="470" spans="1:26" ht="12.5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</row>
    <row r="471" spans="1:26" ht="12.5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</row>
    <row r="472" spans="1:26" ht="12.5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</row>
    <row r="473" spans="1:26" ht="12.5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</row>
    <row r="474" spans="1:26" ht="12.5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</row>
    <row r="475" spans="1:26" ht="12.5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</row>
    <row r="476" spans="1:26" ht="12.5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</row>
    <row r="477" spans="1:26" ht="12.5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</row>
    <row r="478" spans="1:26" ht="12.5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</row>
    <row r="479" spans="1:26" ht="12.5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</row>
    <row r="480" spans="1:26" ht="12.5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</row>
    <row r="481" spans="1:26" ht="12.5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</row>
    <row r="482" spans="1:26" ht="12.5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</row>
    <row r="483" spans="1:26" ht="12.5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</row>
    <row r="484" spans="1:26" ht="12.5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  <row r="485" spans="1:26" ht="12.5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</row>
    <row r="486" spans="1:26" ht="12.5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</row>
    <row r="487" spans="1:26" ht="12.5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</row>
    <row r="488" spans="1:26" ht="12.5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</row>
    <row r="489" spans="1:26" ht="12.5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</row>
    <row r="490" spans="1:26" ht="12.5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</row>
    <row r="491" spans="1:26" ht="12.5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</row>
    <row r="492" spans="1:26" ht="12.5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</row>
    <row r="493" spans="1:26" ht="12.5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</row>
    <row r="494" spans="1:26" ht="12.5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</row>
    <row r="495" spans="1:26" ht="12.5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</row>
    <row r="496" spans="1:26" ht="12.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</row>
    <row r="497" spans="1:26" ht="12.5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</row>
    <row r="498" spans="1:26" ht="12.5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</row>
    <row r="499" spans="1:26" ht="12.5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</row>
    <row r="500" spans="1:26" ht="12.5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</row>
    <row r="501" spans="1:26" ht="12.5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</row>
    <row r="502" spans="1:26" ht="12.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</row>
    <row r="503" spans="1:26" ht="12.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</row>
    <row r="504" spans="1:26" ht="12.5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</row>
    <row r="505" spans="1:26" ht="12.5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</row>
    <row r="506" spans="1:26" ht="12.5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</row>
    <row r="507" spans="1:26" ht="12.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</row>
    <row r="508" spans="1:26" ht="12.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</row>
    <row r="509" spans="1:26" ht="12.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</row>
    <row r="510" spans="1:26" ht="12.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</row>
    <row r="511" spans="1:26" ht="12.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</row>
    <row r="512" spans="1:26" ht="12.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</row>
    <row r="513" spans="1:26" ht="12.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</row>
    <row r="514" spans="1:26" ht="12.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</row>
    <row r="515" spans="1:26" ht="12.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</row>
    <row r="516" spans="1:26" ht="12.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</row>
    <row r="517" spans="1:26" ht="12.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</row>
    <row r="518" spans="1:26" ht="12.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</row>
    <row r="519" spans="1:26" ht="12.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</row>
    <row r="520" spans="1:26" ht="12.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</row>
    <row r="521" spans="1:26" ht="12.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</row>
    <row r="522" spans="1:26" ht="12.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</row>
    <row r="523" spans="1:26" ht="12.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</row>
    <row r="524" spans="1:26" ht="12.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</row>
    <row r="525" spans="1:26" ht="12.5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</row>
    <row r="526" spans="1:26" ht="12.5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</row>
    <row r="527" spans="1:26" ht="12.5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</row>
    <row r="528" spans="1:26" ht="12.5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</row>
    <row r="529" spans="1:26" ht="12.5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</row>
    <row r="530" spans="1:26" ht="12.5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</row>
    <row r="531" spans="1:26" ht="12.5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</row>
    <row r="532" spans="1:26" ht="12.5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</row>
    <row r="533" spans="1:26" ht="12.5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</row>
    <row r="534" spans="1:26" ht="12.5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</row>
    <row r="535" spans="1:26" ht="12.5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</row>
    <row r="536" spans="1:26" ht="12.5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</row>
    <row r="537" spans="1:26" ht="12.5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</row>
    <row r="538" spans="1:26" ht="12.5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</row>
    <row r="539" spans="1:26" ht="12.5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</row>
    <row r="540" spans="1:26" ht="12.5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</row>
    <row r="541" spans="1:26" ht="12.5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</row>
    <row r="542" spans="1:26" ht="12.5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</row>
    <row r="543" spans="1:26" ht="12.5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</row>
    <row r="544" spans="1:26" ht="12.5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</row>
    <row r="545" spans="1:26" ht="12.5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</row>
    <row r="546" spans="1:26" ht="12.5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</row>
    <row r="547" spans="1:26" ht="12.5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</row>
    <row r="548" spans="1:26" ht="12.5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</row>
    <row r="549" spans="1:26" ht="12.5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</row>
    <row r="550" spans="1:26" ht="12.5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</row>
    <row r="551" spans="1:26" ht="12.5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</row>
    <row r="552" spans="1:26" ht="12.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</row>
    <row r="553" spans="1:26" ht="12.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</row>
    <row r="554" spans="1:26" ht="12.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</row>
    <row r="555" spans="1:26" ht="12.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</row>
    <row r="556" spans="1:26" ht="12.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</row>
    <row r="557" spans="1:26" ht="12.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</row>
    <row r="558" spans="1:26" ht="12.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</row>
    <row r="559" spans="1:26" ht="12.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</row>
    <row r="560" spans="1:26" ht="12.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</row>
    <row r="561" spans="1:26" ht="12.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</row>
    <row r="562" spans="1:26" ht="12.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</row>
    <row r="563" spans="1:26" ht="12.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</row>
    <row r="564" spans="1:26" ht="12.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</row>
    <row r="565" spans="1:26" ht="12.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</row>
    <row r="566" spans="1:26" ht="12.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</row>
    <row r="567" spans="1:26" ht="12.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</row>
    <row r="568" spans="1:26" ht="12.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</row>
    <row r="569" spans="1:26" ht="12.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</row>
    <row r="570" spans="1:26" ht="12.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</row>
    <row r="571" spans="1:26" ht="12.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</row>
    <row r="572" spans="1:26" ht="12.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</row>
    <row r="573" spans="1:26" ht="12.5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</row>
    <row r="574" spans="1:26" ht="12.5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</row>
    <row r="575" spans="1:26" ht="12.5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</row>
    <row r="576" spans="1:26" ht="12.5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</row>
    <row r="577" spans="1:26" ht="12.5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</row>
    <row r="578" spans="1:26" ht="12.5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</row>
    <row r="579" spans="1:26" ht="12.5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</row>
    <row r="580" spans="1:26" ht="12.5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</row>
    <row r="581" spans="1:26" ht="12.5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</row>
    <row r="582" spans="1:26" ht="12.5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</row>
    <row r="583" spans="1:26" ht="12.5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</row>
    <row r="584" spans="1:26" ht="12.5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</row>
    <row r="585" spans="1:26" ht="12.5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</row>
    <row r="586" spans="1:26" ht="12.5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</row>
    <row r="587" spans="1:26" ht="12.5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</row>
    <row r="588" spans="1:26" ht="12.5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</row>
    <row r="589" spans="1:26" ht="12.5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</row>
    <row r="590" spans="1:26" ht="12.5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</row>
    <row r="591" spans="1:26" ht="12.5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</row>
    <row r="592" spans="1:26" ht="12.5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</row>
    <row r="593" spans="1:26" ht="12.5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</row>
    <row r="594" spans="1:26" ht="12.5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</row>
    <row r="595" spans="1:26" ht="12.5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</row>
    <row r="596" spans="1:26" ht="12.5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</row>
    <row r="597" spans="1:26" ht="12.5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</row>
    <row r="598" spans="1:26" ht="12.5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</row>
    <row r="599" spans="1:26" ht="12.5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</row>
    <row r="600" spans="1:26" ht="12.5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</row>
    <row r="601" spans="1:26" ht="12.5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</row>
    <row r="602" spans="1:26" ht="12.5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</row>
    <row r="603" spans="1:26" ht="12.5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</row>
    <row r="604" spans="1:26" ht="12.5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</row>
    <row r="605" spans="1:26" ht="12.5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</row>
    <row r="606" spans="1:26" ht="12.5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</row>
    <row r="607" spans="1:26" ht="12.5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</row>
    <row r="608" spans="1:26" ht="12.5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</row>
    <row r="609" spans="1:26" ht="12.5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</row>
    <row r="610" spans="1:26" ht="12.5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</row>
    <row r="611" spans="1:26" ht="12.5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</row>
    <row r="612" spans="1:26" ht="12.5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</row>
    <row r="613" spans="1:26" ht="12.5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</row>
    <row r="614" spans="1:26" ht="12.5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</row>
    <row r="615" spans="1:26" ht="12.5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</row>
    <row r="616" spans="1:26" ht="12.5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</row>
    <row r="617" spans="1:26" ht="12.5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</row>
    <row r="618" spans="1:26" ht="12.5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</row>
    <row r="619" spans="1:26" ht="12.5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</row>
    <row r="620" spans="1:26" ht="12.5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</row>
    <row r="621" spans="1:26" ht="12.5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</row>
    <row r="622" spans="1:26" ht="12.5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</row>
    <row r="623" spans="1:26" ht="12.5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</row>
    <row r="624" spans="1:26" ht="12.5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</row>
    <row r="625" spans="1:26" ht="12.5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</row>
    <row r="626" spans="1:26" ht="12.5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</row>
    <row r="627" spans="1:26" ht="12.5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</row>
    <row r="628" spans="1:26" ht="12.5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</row>
    <row r="629" spans="1:26" ht="12.5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</row>
    <row r="630" spans="1:26" ht="12.5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</row>
    <row r="631" spans="1:26" ht="12.5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</row>
    <row r="632" spans="1:26" ht="12.5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</row>
    <row r="633" spans="1:26" ht="12.5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</row>
    <row r="634" spans="1:26" ht="12.5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</row>
    <row r="635" spans="1:26" ht="12.5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</row>
    <row r="636" spans="1:26" ht="12.5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</row>
    <row r="637" spans="1:26" ht="12.5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</row>
    <row r="638" spans="1:26" ht="12.5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</row>
    <row r="639" spans="1:26" ht="12.5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</row>
    <row r="640" spans="1:26" ht="12.5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</row>
    <row r="641" spans="1:26" ht="12.5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</row>
    <row r="642" spans="1:26" ht="12.5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</row>
    <row r="643" spans="1:26" ht="12.5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</row>
    <row r="644" spans="1:26" ht="12.5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</row>
    <row r="645" spans="1:26" ht="12.5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</row>
    <row r="646" spans="1:26" ht="12.5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</row>
    <row r="647" spans="1:26" ht="12.5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</row>
    <row r="648" spans="1:26" ht="12.5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</row>
    <row r="649" spans="1:26" ht="12.5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</row>
    <row r="650" spans="1:26" ht="12.5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</row>
    <row r="651" spans="1:26" ht="12.5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</row>
    <row r="652" spans="1:26" ht="12.5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</row>
    <row r="653" spans="1:26" ht="12.5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</row>
    <row r="654" spans="1:26" ht="12.5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</row>
    <row r="655" spans="1:26" ht="12.5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</row>
    <row r="656" spans="1:26" ht="12.5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</row>
    <row r="657" spans="1:26" ht="12.5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</row>
    <row r="658" spans="1:26" ht="12.5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</row>
    <row r="659" spans="1:26" ht="12.5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</row>
    <row r="660" spans="1:26" ht="12.5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</row>
    <row r="661" spans="1:26" ht="12.5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</row>
    <row r="662" spans="1:26" ht="12.5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</row>
    <row r="663" spans="1:26" ht="12.5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</row>
    <row r="664" spans="1:26" ht="12.5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</row>
    <row r="665" spans="1:26" ht="12.5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</row>
    <row r="666" spans="1:26" ht="12.5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</row>
    <row r="667" spans="1:26" ht="12.5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</row>
    <row r="668" spans="1:26" ht="12.5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</row>
    <row r="669" spans="1:26" ht="12.5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</row>
    <row r="670" spans="1:26" ht="12.5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</row>
    <row r="671" spans="1:26" ht="12.5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</row>
    <row r="672" spans="1:26" ht="12.5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</row>
    <row r="673" spans="1:26" ht="12.5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</row>
    <row r="674" spans="1:26" ht="12.5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</row>
    <row r="675" spans="1:26" ht="12.5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</row>
    <row r="676" spans="1:26" ht="12.5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</row>
    <row r="677" spans="1:26" ht="12.5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</row>
    <row r="678" spans="1:26" ht="12.5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</row>
    <row r="679" spans="1:26" ht="12.5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</row>
    <row r="680" spans="1:26" ht="12.5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</row>
    <row r="681" spans="1:26" ht="12.5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</row>
    <row r="682" spans="1:26" ht="12.5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</row>
    <row r="683" spans="1:26" ht="12.5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</row>
    <row r="684" spans="1:26" ht="12.5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</row>
    <row r="685" spans="1:26" ht="12.5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</row>
    <row r="686" spans="1:26" ht="12.5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</row>
    <row r="687" spans="1:26" ht="12.5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</row>
    <row r="688" spans="1:26" ht="12.5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</row>
    <row r="689" spans="1:26" ht="12.5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</row>
    <row r="690" spans="1:26" ht="12.5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</row>
    <row r="691" spans="1:26" ht="12.5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</row>
    <row r="692" spans="1:26" ht="12.5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</row>
    <row r="693" spans="1:26" ht="12.5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</row>
    <row r="694" spans="1:26" ht="12.5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</row>
    <row r="695" spans="1:26" ht="12.5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</row>
    <row r="696" spans="1:26" ht="12.5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</row>
    <row r="697" spans="1:26" ht="12.5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</row>
    <row r="698" spans="1:26" ht="12.5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</row>
    <row r="699" spans="1:26" ht="12.5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</row>
    <row r="700" spans="1:26" ht="12.5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</row>
    <row r="701" spans="1:26" ht="12.5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</row>
    <row r="702" spans="1:26" ht="12.5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</row>
    <row r="703" spans="1:26" ht="12.5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</row>
    <row r="704" spans="1:26" ht="12.5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</row>
    <row r="705" spans="1:26" ht="12.5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</row>
    <row r="706" spans="1:26" ht="12.5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</row>
    <row r="707" spans="1:26" ht="12.5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</row>
    <row r="708" spans="1:26" ht="12.5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</row>
    <row r="709" spans="1:26" ht="12.5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</row>
    <row r="710" spans="1:26" ht="12.5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</row>
    <row r="711" spans="1:26" ht="12.5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</row>
    <row r="712" spans="1:26" ht="12.5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</row>
    <row r="713" spans="1:26" ht="12.5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</row>
    <row r="714" spans="1:26" ht="12.5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</row>
    <row r="715" spans="1:26" ht="12.5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</row>
    <row r="716" spans="1:26" ht="12.5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</row>
    <row r="717" spans="1:26" ht="12.5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</row>
    <row r="718" spans="1:26" ht="12.5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</row>
    <row r="719" spans="1:26" ht="12.5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</row>
    <row r="720" spans="1:26" ht="12.5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</row>
    <row r="721" spans="1:26" ht="12.5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</row>
    <row r="722" spans="1:26" ht="12.5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</row>
    <row r="723" spans="1:26" ht="12.5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</row>
    <row r="724" spans="1:26" ht="12.5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</row>
    <row r="725" spans="1:26" ht="12.5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</row>
    <row r="726" spans="1:26" ht="12.5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</row>
    <row r="727" spans="1:26" ht="12.5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</row>
    <row r="728" spans="1:26" ht="12.5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</row>
    <row r="729" spans="1:26" ht="12.5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</row>
    <row r="730" spans="1:26" ht="12.5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</row>
    <row r="731" spans="1:26" ht="12.5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</row>
    <row r="732" spans="1:26" ht="12.5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</row>
    <row r="733" spans="1:26" ht="12.5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</row>
    <row r="734" spans="1:26" ht="12.5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</row>
    <row r="735" spans="1:26" ht="12.5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</row>
    <row r="736" spans="1:26" ht="12.5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</row>
    <row r="737" spans="1:26" ht="12.5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</row>
    <row r="738" spans="1:26" ht="12.5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</row>
    <row r="739" spans="1:26" ht="12.5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</row>
    <row r="740" spans="1:26" ht="12.5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</row>
    <row r="741" spans="1:26" ht="12.5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</row>
    <row r="742" spans="1:26" ht="12.5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</row>
    <row r="743" spans="1:26" ht="12.5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</row>
    <row r="744" spans="1:26" ht="12.5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</row>
    <row r="745" spans="1:26" ht="12.5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</row>
    <row r="746" spans="1:26" ht="12.5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</row>
    <row r="747" spans="1:26" ht="12.5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</row>
    <row r="748" spans="1:26" ht="12.5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</row>
    <row r="749" spans="1:26" ht="12.5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</row>
    <row r="750" spans="1:26" ht="12.5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</row>
    <row r="751" spans="1:26" ht="12.5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</row>
    <row r="752" spans="1:26" ht="12.5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</row>
    <row r="753" spans="1:26" ht="12.5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</row>
    <row r="754" spans="1:26" ht="12.5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</row>
    <row r="755" spans="1:26" ht="12.5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</row>
    <row r="756" spans="1:26" ht="12.5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</row>
    <row r="757" spans="1:26" ht="12.5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</row>
    <row r="758" spans="1:26" ht="12.5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</row>
    <row r="759" spans="1:26" ht="12.5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</row>
    <row r="760" spans="1:26" ht="12.5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</row>
    <row r="761" spans="1:26" ht="12.5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</row>
    <row r="762" spans="1:26" ht="12.5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</row>
    <row r="763" spans="1:26" ht="12.5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</row>
    <row r="764" spans="1:26" ht="12.5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</row>
    <row r="765" spans="1:26" ht="12.5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</row>
    <row r="766" spans="1:26" ht="12.5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</row>
    <row r="767" spans="1:26" ht="12.5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</row>
    <row r="768" spans="1:26" ht="12.5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</row>
    <row r="769" spans="1:26" ht="12.5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</row>
    <row r="770" spans="1:26" ht="12.5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</row>
    <row r="771" spans="1:26" ht="12.5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</row>
    <row r="772" spans="1:26" ht="12.5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</row>
    <row r="773" spans="1:26" ht="12.5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</row>
    <row r="774" spans="1:26" ht="12.5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</row>
    <row r="775" spans="1:26" ht="12.5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</row>
    <row r="776" spans="1:26" ht="12.5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</row>
    <row r="777" spans="1:26" ht="12.5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</row>
    <row r="778" spans="1:26" ht="12.5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</row>
    <row r="779" spans="1:26" ht="12.5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</row>
    <row r="780" spans="1:26" ht="12.5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</row>
    <row r="781" spans="1:26" ht="12.5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</row>
    <row r="782" spans="1:26" ht="12.5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</row>
    <row r="783" spans="1:26" ht="12.5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</row>
    <row r="784" spans="1:26" ht="12.5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</row>
    <row r="785" spans="1:26" ht="12.5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</row>
    <row r="786" spans="1:26" ht="12.5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</row>
    <row r="787" spans="1:26" ht="12.5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</row>
    <row r="788" spans="1:26" ht="12.5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</row>
    <row r="789" spans="1:26" ht="12.5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</row>
    <row r="790" spans="1:26" ht="12.5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</row>
    <row r="791" spans="1:26" ht="12.5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</row>
    <row r="792" spans="1:26" ht="12.5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</row>
    <row r="793" spans="1:26" ht="12.5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</row>
    <row r="794" spans="1:26" ht="12.5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</row>
    <row r="795" spans="1:26" ht="12.5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</row>
    <row r="796" spans="1:26" ht="12.5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</row>
    <row r="797" spans="1:26" ht="12.5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</row>
    <row r="798" spans="1:26" ht="12.5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</row>
    <row r="799" spans="1:26" ht="12.5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</row>
    <row r="800" spans="1:26" ht="12.5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</row>
    <row r="801" spans="1:26" ht="12.5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</row>
    <row r="802" spans="1:26" ht="12.5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</row>
    <row r="803" spans="1:26" ht="12.5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</row>
    <row r="804" spans="1:26" ht="12.5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</row>
    <row r="805" spans="1:26" ht="12.5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</row>
    <row r="806" spans="1:26" ht="12.5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</row>
    <row r="807" spans="1:26" ht="12.5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</row>
    <row r="808" spans="1:26" ht="12.5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</row>
    <row r="809" spans="1:26" ht="12.5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</row>
    <row r="810" spans="1:26" ht="12.5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</row>
    <row r="811" spans="1:26" ht="12.5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</row>
    <row r="812" spans="1:26" ht="12.5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</row>
    <row r="813" spans="1:26" ht="12.5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</row>
    <row r="814" spans="1:26" ht="12.5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</row>
    <row r="815" spans="1:26" ht="12.5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</row>
    <row r="816" spans="1:26" ht="12.5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</row>
    <row r="817" spans="1:26" ht="12.5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</row>
    <row r="818" spans="1:26" ht="12.5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</row>
    <row r="819" spans="1:26" ht="12.5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</row>
    <row r="820" spans="1:26" ht="12.5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</row>
    <row r="821" spans="1:26" ht="12.5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</row>
    <row r="822" spans="1:26" ht="12.5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</row>
    <row r="823" spans="1:26" ht="12.5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</row>
    <row r="824" spans="1:26" ht="12.5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</row>
    <row r="825" spans="1:26" ht="12.5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</row>
    <row r="826" spans="1:26" ht="12.5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</row>
    <row r="827" spans="1:26" ht="12.5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</row>
    <row r="828" spans="1:26" ht="12.5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</row>
    <row r="829" spans="1:26" ht="12.5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</row>
    <row r="830" spans="1:26" ht="12.5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</row>
    <row r="831" spans="1:26" ht="12.5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</row>
    <row r="832" spans="1:26" ht="12.5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</row>
    <row r="833" spans="1:26" ht="12.5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</row>
    <row r="834" spans="1:26" ht="12.5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</row>
    <row r="835" spans="1:26" ht="12.5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</row>
    <row r="836" spans="1:26" ht="12.5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</row>
    <row r="837" spans="1:26" ht="12.5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</row>
    <row r="838" spans="1:26" ht="12.5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</row>
    <row r="839" spans="1:26" ht="12.5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</row>
    <row r="840" spans="1:26" ht="12.5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</row>
    <row r="841" spans="1:26" ht="12.5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</row>
    <row r="842" spans="1:26" ht="12.5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</row>
    <row r="843" spans="1:26" ht="12.5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</row>
    <row r="844" spans="1:26" ht="12.5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</row>
    <row r="845" spans="1:26" ht="12.5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</row>
    <row r="846" spans="1:26" ht="12.5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</row>
    <row r="847" spans="1:26" ht="12.5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</row>
    <row r="848" spans="1:26" ht="12.5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</row>
    <row r="849" spans="1:26" ht="12.5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</row>
    <row r="850" spans="1:26" ht="12.5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</row>
    <row r="851" spans="1:26" ht="12.5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</row>
    <row r="852" spans="1:26" ht="12.5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</row>
    <row r="853" spans="1:26" ht="12.5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</row>
    <row r="854" spans="1:26" ht="12.5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</row>
    <row r="855" spans="1:26" ht="12.5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</row>
    <row r="856" spans="1:26" ht="12.5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</row>
    <row r="857" spans="1:26" ht="12.5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</row>
    <row r="858" spans="1:26" ht="12.5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</row>
    <row r="859" spans="1:26" ht="12.5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</row>
    <row r="860" spans="1:26" ht="12.5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</row>
    <row r="861" spans="1:26" ht="12.5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</row>
    <row r="862" spans="1:26" ht="12.5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</row>
    <row r="863" spans="1:26" ht="12.5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</row>
    <row r="864" spans="1:26" ht="12.5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</row>
    <row r="865" spans="1:26" ht="12.5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</row>
    <row r="866" spans="1:26" ht="12.5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</row>
    <row r="867" spans="1:26" ht="12.5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</row>
    <row r="868" spans="1:26" ht="12.5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</row>
    <row r="869" spans="1:26" ht="12.5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</row>
    <row r="870" spans="1:26" ht="12.5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</row>
    <row r="871" spans="1:26" ht="12.5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</row>
    <row r="872" spans="1:26" ht="12.5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</row>
    <row r="873" spans="1:26" ht="12.5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</row>
    <row r="874" spans="1:26" ht="12.5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</row>
    <row r="875" spans="1:26" ht="12.5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</row>
    <row r="876" spans="1:26" ht="12.5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</row>
    <row r="877" spans="1:26" ht="12.5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</row>
    <row r="878" spans="1:26" ht="12.5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</row>
    <row r="879" spans="1:26" ht="12.5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</row>
    <row r="880" spans="1:26" ht="12.5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</row>
    <row r="881" spans="1:26" ht="12.5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</row>
    <row r="882" spans="1:26" ht="12.5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</row>
    <row r="883" spans="1:26" ht="12.5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</row>
    <row r="884" spans="1:26" ht="12.5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</row>
    <row r="885" spans="1:26" ht="12.5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</row>
    <row r="886" spans="1:26" ht="12.5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</row>
    <row r="887" spans="1:26" ht="12.5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</row>
    <row r="888" spans="1:26" ht="12.5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</row>
    <row r="889" spans="1:26" ht="12.5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</row>
    <row r="890" spans="1:26" ht="12.5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</row>
    <row r="891" spans="1:26" ht="12.5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</row>
    <row r="892" spans="1:26" ht="12.5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</row>
    <row r="893" spans="1:26" ht="12.5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</row>
    <row r="894" spans="1:26" ht="12.5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</row>
    <row r="895" spans="1:26" ht="12.5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</row>
    <row r="896" spans="1:26" ht="12.5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</row>
    <row r="897" spans="1:26" ht="12.5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</row>
    <row r="898" spans="1:26" ht="12.5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</row>
    <row r="899" spans="1:26" ht="12.5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</row>
    <row r="900" spans="1:26" ht="12.5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</row>
    <row r="901" spans="1:26" ht="12.5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</row>
    <row r="902" spans="1:26" ht="12.5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</row>
    <row r="903" spans="1:26" ht="12.5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</row>
    <row r="904" spans="1:26" ht="12.5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</row>
    <row r="905" spans="1:26" ht="12.5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</row>
    <row r="906" spans="1:26" ht="12.5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</row>
    <row r="907" spans="1:26" ht="12.5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</row>
    <row r="908" spans="1:26" ht="12.5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</row>
    <row r="909" spans="1:26" ht="12.5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</row>
    <row r="910" spans="1:26" ht="12.5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</row>
    <row r="911" spans="1:26" ht="12.5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</row>
    <row r="912" spans="1:26" ht="12.5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</row>
    <row r="913" spans="1:26" ht="12.5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</row>
    <row r="914" spans="1:26" ht="12.5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</row>
    <row r="915" spans="1:26" ht="12.5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</row>
    <row r="916" spans="1:26" ht="12.5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</row>
    <row r="917" spans="1:26" ht="12.5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</row>
    <row r="918" spans="1:26" ht="12.5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</row>
    <row r="919" spans="1:26" ht="12.5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</row>
    <row r="920" spans="1:26" ht="12.5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</row>
    <row r="921" spans="1:26" ht="12.5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</row>
    <row r="922" spans="1:26" ht="12.5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</row>
    <row r="923" spans="1:26" ht="12.5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</row>
    <row r="924" spans="1:26" ht="12.5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</row>
    <row r="925" spans="1:26" ht="12.5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</row>
    <row r="926" spans="1:26" ht="12.5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</row>
    <row r="927" spans="1:26" ht="12.5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</row>
    <row r="928" spans="1:26" ht="12.5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</row>
    <row r="929" spans="1:26" ht="12.5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</row>
    <row r="930" spans="1:26" ht="12.5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</row>
    <row r="931" spans="1:26" ht="12.5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</row>
    <row r="932" spans="1:26" ht="12.5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</row>
    <row r="933" spans="1:26" ht="12.5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</row>
    <row r="934" spans="1:26" ht="12.5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</row>
    <row r="935" spans="1:26" ht="12.5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</row>
    <row r="936" spans="1:26" ht="12.5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</row>
    <row r="937" spans="1:26" ht="12.5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</row>
    <row r="938" spans="1:26" ht="12.5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</row>
    <row r="939" spans="1:26" ht="12.5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</row>
    <row r="940" spans="1:26" ht="12.5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</row>
    <row r="941" spans="1:26" ht="12.5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</row>
    <row r="942" spans="1:26" ht="12.5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</row>
    <row r="943" spans="1:26" ht="12.5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</row>
    <row r="944" spans="1:26" ht="12.5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</row>
    <row r="945" spans="1:26" ht="12.5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</row>
    <row r="946" spans="1:26" ht="12.5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</row>
    <row r="947" spans="1:26" ht="12.5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</row>
    <row r="948" spans="1:26" ht="12.5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</row>
    <row r="949" spans="1:26" ht="12.5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</row>
    <row r="950" spans="1:26" ht="12.5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</row>
    <row r="951" spans="1:26" ht="12.5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</row>
    <row r="952" spans="1:26" ht="12.5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</row>
    <row r="953" spans="1:26" ht="12.5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</row>
    <row r="954" spans="1:26" ht="12.5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</row>
    <row r="955" spans="1:26" ht="12.5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</row>
    <row r="956" spans="1:26" ht="12.5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</row>
    <row r="957" spans="1:26" ht="12.5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</row>
    <row r="958" spans="1:26" ht="12.5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</row>
    <row r="959" spans="1:26" ht="12.5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</row>
    <row r="960" spans="1:26" ht="12.5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</row>
    <row r="961" spans="1:26" ht="12.5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</row>
    <row r="962" spans="1:26" ht="12.5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</row>
    <row r="963" spans="1:26" ht="12.5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</row>
    <row r="964" spans="1:26" ht="12.5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</row>
    <row r="965" spans="1:26" ht="12.5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</row>
    <row r="966" spans="1:26" ht="12.5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</row>
    <row r="967" spans="1:26" ht="12.5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</row>
  </sheetData>
  <mergeCells count="4">
    <mergeCell ref="A1:L1"/>
    <mergeCell ref="A2:L2"/>
    <mergeCell ref="A3:L3"/>
    <mergeCell ref="A5:L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2"/>
  <sheetViews>
    <sheetView workbookViewId="0">
      <selection sqref="A1:L1"/>
    </sheetView>
  </sheetViews>
  <sheetFormatPr defaultColWidth="12.6328125" defaultRowHeight="15.75" customHeight="1"/>
  <cols>
    <col min="2" max="2" width="24.36328125" customWidth="1"/>
    <col min="13" max="13" width="14.453125" customWidth="1"/>
  </cols>
  <sheetData>
    <row r="1" spans="1:26" ht="15.75" customHeight="1">
      <c r="A1" s="183" t="s">
        <v>62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8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8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8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86" t="s">
        <v>197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87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2"/>
      <c r="C7" s="2"/>
      <c r="D7" s="2"/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30" t="s">
        <v>198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12" t="s">
        <v>8</v>
      </c>
      <c r="B9" s="10" t="s">
        <v>66</v>
      </c>
      <c r="C9" s="10" t="s">
        <v>67</v>
      </c>
      <c r="D9" s="10" t="s">
        <v>68</v>
      </c>
      <c r="E9" s="113" t="s">
        <v>69</v>
      </c>
      <c r="F9" s="10" t="s">
        <v>70</v>
      </c>
      <c r="G9" s="10" t="s">
        <v>71</v>
      </c>
      <c r="H9" s="10" t="s">
        <v>72</v>
      </c>
      <c r="I9" s="10" t="s">
        <v>73</v>
      </c>
      <c r="J9" s="10" t="s">
        <v>74</v>
      </c>
      <c r="K9" s="10" t="s">
        <v>75</v>
      </c>
      <c r="L9" s="10" t="s">
        <v>76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14">
        <v>9</v>
      </c>
      <c r="B10" s="11" t="s">
        <v>199</v>
      </c>
      <c r="C10" s="188">
        <f>1949.45*K12</f>
        <v>2043.6084350000001</v>
      </c>
      <c r="D10" s="188">
        <f t="shared" ref="D10:L10" si="0">C10*1.1</f>
        <v>2247.9692785000002</v>
      </c>
      <c r="E10" s="189">
        <f t="shared" si="0"/>
        <v>2472.7662063500006</v>
      </c>
      <c r="F10" s="188">
        <f t="shared" si="0"/>
        <v>2720.0428269850008</v>
      </c>
      <c r="G10" s="188">
        <f t="shared" si="0"/>
        <v>2992.0471096835013</v>
      </c>
      <c r="H10" s="188">
        <f t="shared" si="0"/>
        <v>3291.2518206518516</v>
      </c>
      <c r="I10" s="188">
        <f t="shared" si="0"/>
        <v>3620.3770027170372</v>
      </c>
      <c r="J10" s="188">
        <f t="shared" si="0"/>
        <v>3982.4147029887413</v>
      </c>
      <c r="K10" s="188">
        <f t="shared" si="0"/>
        <v>4380.6561732876162</v>
      </c>
      <c r="L10" s="188">
        <f t="shared" si="0"/>
        <v>4818.7217906163778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14">
        <v>140</v>
      </c>
      <c r="B11" s="11" t="s">
        <v>200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115" t="s">
        <v>201</v>
      </c>
      <c r="C12" s="2"/>
      <c r="D12" s="116" t="s">
        <v>202</v>
      </c>
      <c r="E12" s="111"/>
      <c r="F12" s="2"/>
      <c r="G12" s="2"/>
      <c r="H12" s="2"/>
      <c r="I12" s="2"/>
      <c r="J12" s="116" t="s">
        <v>203</v>
      </c>
      <c r="K12" s="117">
        <v>1.0483</v>
      </c>
      <c r="L12" s="118" t="s">
        <v>204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/>
      <c r="C13" s="2"/>
      <c r="D13" s="2"/>
      <c r="E13" s="111"/>
      <c r="F13" s="2"/>
      <c r="G13" s="2"/>
      <c r="H13" s="2"/>
      <c r="I13" s="2"/>
      <c r="J13" s="119"/>
      <c r="K13" s="119"/>
      <c r="L13" s="1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91" t="s">
        <v>205</v>
      </c>
      <c r="B14" s="134"/>
      <c r="C14" s="134"/>
      <c r="D14" s="134"/>
      <c r="E14" s="1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2"/>
      <c r="B15" s="151"/>
      <c r="C15" s="135"/>
      <c r="D15" s="135"/>
      <c r="E15" s="111"/>
      <c r="F15" s="22"/>
      <c r="G15" s="22"/>
      <c r="H15" s="22"/>
      <c r="I15" s="22"/>
      <c r="J15" s="22"/>
      <c r="K15" s="22"/>
      <c r="L15" s="2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112" t="s">
        <v>8</v>
      </c>
      <c r="B16" s="10" t="s">
        <v>9</v>
      </c>
      <c r="C16" s="10" t="s">
        <v>206</v>
      </c>
      <c r="D16" s="10" t="s">
        <v>207</v>
      </c>
      <c r="E16" s="120" t="s">
        <v>208</v>
      </c>
      <c r="F16" s="10" t="s">
        <v>8</v>
      </c>
      <c r="G16" s="130" t="s">
        <v>9</v>
      </c>
      <c r="H16" s="135"/>
      <c r="I16" s="135"/>
      <c r="J16" s="131"/>
      <c r="K16" s="10" t="s">
        <v>206</v>
      </c>
      <c r="L16" s="10" t="s">
        <v>207</v>
      </c>
      <c r="M16" s="120" t="s">
        <v>208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14">
        <v>94</v>
      </c>
      <c r="B17" s="12" t="s">
        <v>209</v>
      </c>
      <c r="C17" s="13" t="s">
        <v>210</v>
      </c>
      <c r="D17" s="121">
        <v>1105.6300000000001</v>
      </c>
      <c r="E17" s="122">
        <f t="shared" ref="E17:E19" si="1">D17*K$12</f>
        <v>1159.0319290000002</v>
      </c>
      <c r="F17" s="13">
        <v>115</v>
      </c>
      <c r="G17" s="190" t="s">
        <v>211</v>
      </c>
      <c r="H17" s="135"/>
      <c r="I17" s="135"/>
      <c r="J17" s="131"/>
      <c r="K17" s="13" t="s">
        <v>212</v>
      </c>
      <c r="L17" s="123">
        <v>600</v>
      </c>
      <c r="M17" s="124">
        <f t="shared" ref="M17:M20" si="2">L17*K$12</f>
        <v>628.98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114">
        <v>92</v>
      </c>
      <c r="B18" s="12" t="s">
        <v>213</v>
      </c>
      <c r="C18" s="13" t="s">
        <v>210</v>
      </c>
      <c r="D18" s="121">
        <v>735.27</v>
      </c>
      <c r="E18" s="122">
        <f t="shared" si="1"/>
        <v>770.78354100000001</v>
      </c>
      <c r="F18" s="145">
        <v>116</v>
      </c>
      <c r="G18" s="190" t="s">
        <v>214</v>
      </c>
      <c r="H18" s="135"/>
      <c r="I18" s="135"/>
      <c r="J18" s="131"/>
      <c r="K18" s="13" t="s">
        <v>212</v>
      </c>
      <c r="L18" s="123">
        <v>500</v>
      </c>
      <c r="M18" s="124">
        <f t="shared" si="2"/>
        <v>524.15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76">
        <v>90</v>
      </c>
      <c r="B19" s="12" t="s">
        <v>215</v>
      </c>
      <c r="C19" s="145" t="s">
        <v>210</v>
      </c>
      <c r="D19" s="175">
        <v>1486.87</v>
      </c>
      <c r="E19" s="177">
        <f t="shared" si="1"/>
        <v>1558.6858209999998</v>
      </c>
      <c r="F19" s="131"/>
      <c r="G19" s="190" t="s">
        <v>216</v>
      </c>
      <c r="H19" s="135"/>
      <c r="I19" s="135"/>
      <c r="J19" s="131"/>
      <c r="K19" s="13" t="s">
        <v>212</v>
      </c>
      <c r="L19" s="123">
        <v>500</v>
      </c>
      <c r="M19" s="124">
        <f t="shared" si="2"/>
        <v>524.15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61"/>
      <c r="B20" s="12" t="s">
        <v>217</v>
      </c>
      <c r="C20" s="131"/>
      <c r="D20" s="131"/>
      <c r="E20" s="161"/>
      <c r="F20" s="13">
        <v>117</v>
      </c>
      <c r="G20" s="190" t="s">
        <v>218</v>
      </c>
      <c r="H20" s="135"/>
      <c r="I20" s="135"/>
      <c r="J20" s="131"/>
      <c r="K20" s="13"/>
      <c r="L20" s="123">
        <v>764.47</v>
      </c>
      <c r="M20" s="124">
        <f t="shared" si="2"/>
        <v>801.39390100000003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">
      <c r="A21" s="176">
        <v>89</v>
      </c>
      <c r="B21" s="12" t="s">
        <v>219</v>
      </c>
      <c r="C21" s="145" t="s">
        <v>210</v>
      </c>
      <c r="D21" s="175">
        <v>1595.8</v>
      </c>
      <c r="E21" s="177">
        <f>D21*K$12</f>
        <v>1672.8771400000001</v>
      </c>
      <c r="F21" s="2"/>
      <c r="G21" s="2"/>
      <c r="H21" s="169"/>
      <c r="I21" s="134"/>
      <c r="J21" s="1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">
      <c r="A22" s="161"/>
      <c r="B22" s="12" t="s">
        <v>220</v>
      </c>
      <c r="C22" s="131"/>
      <c r="D22" s="131"/>
      <c r="E22" s="161"/>
      <c r="F22" s="2"/>
      <c r="G22" s="2"/>
      <c r="H22" s="169"/>
      <c r="I22" s="134"/>
      <c r="J22" s="13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">
      <c r="A23" s="114">
        <v>93</v>
      </c>
      <c r="B23" s="12" t="s">
        <v>221</v>
      </c>
      <c r="C23" s="13" t="s">
        <v>210</v>
      </c>
      <c r="D23" s="121">
        <v>942.23</v>
      </c>
      <c r="E23" s="122">
        <f t="shared" ref="E23:E24" si="3">D23*K$12</f>
        <v>987.73970900000006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5">
      <c r="A24" s="176">
        <v>86</v>
      </c>
      <c r="B24" s="12" t="s">
        <v>222</v>
      </c>
      <c r="C24" s="145" t="s">
        <v>223</v>
      </c>
      <c r="D24" s="175">
        <v>555.54</v>
      </c>
      <c r="E24" s="177">
        <f t="shared" si="3"/>
        <v>582.37258199999997</v>
      </c>
      <c r="F24" s="180" t="s">
        <v>224</v>
      </c>
      <c r="G24" s="135"/>
      <c r="H24" s="135"/>
      <c r="I24" s="135"/>
      <c r="J24" s="135"/>
      <c r="K24" s="135"/>
      <c r="L24" s="13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">
      <c r="A25" s="161"/>
      <c r="B25" s="12" t="s">
        <v>225</v>
      </c>
      <c r="C25" s="131"/>
      <c r="D25" s="131"/>
      <c r="E25" s="161"/>
      <c r="F25" s="10" t="s">
        <v>8</v>
      </c>
      <c r="G25" s="130" t="s">
        <v>9</v>
      </c>
      <c r="H25" s="135"/>
      <c r="I25" s="135"/>
      <c r="J25" s="131"/>
      <c r="K25" s="10" t="s">
        <v>206</v>
      </c>
      <c r="L25" s="10" t="s">
        <v>207</v>
      </c>
      <c r="M25" s="125" t="s">
        <v>226</v>
      </c>
      <c r="N25" s="120" t="s">
        <v>208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">
      <c r="A26" s="176">
        <v>81</v>
      </c>
      <c r="B26" s="12" t="s">
        <v>227</v>
      </c>
      <c r="C26" s="178"/>
      <c r="D26" s="175">
        <v>2446.3200000000002</v>
      </c>
      <c r="E26" s="177">
        <f>D26*K$12</f>
        <v>2564.4772560000001</v>
      </c>
      <c r="F26" s="13">
        <v>124</v>
      </c>
      <c r="G26" s="151" t="s">
        <v>228</v>
      </c>
      <c r="H26" s="135"/>
      <c r="I26" s="135"/>
      <c r="J26" s="131"/>
      <c r="K26" s="13" t="s">
        <v>210</v>
      </c>
      <c r="L26" s="28">
        <v>1401.2844</v>
      </c>
      <c r="M26" s="126">
        <f t="shared" ref="M26:M32" si="4">L26*$L$33</f>
        <v>1466.02373928</v>
      </c>
      <c r="N26" s="127">
        <f t="shared" ref="N26:N32" si="5">M26*N$33</f>
        <v>1536.832685887224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">
      <c r="A27" s="163"/>
      <c r="B27" s="12" t="s">
        <v>229</v>
      </c>
      <c r="C27" s="133"/>
      <c r="D27" s="133"/>
      <c r="E27" s="163"/>
      <c r="F27" s="13">
        <v>125</v>
      </c>
      <c r="G27" s="151" t="s">
        <v>230</v>
      </c>
      <c r="H27" s="135"/>
      <c r="I27" s="135"/>
      <c r="J27" s="131"/>
      <c r="K27" s="13" t="s">
        <v>210</v>
      </c>
      <c r="L27" s="28">
        <v>1428.2501999999999</v>
      </c>
      <c r="M27" s="126">
        <f t="shared" si="4"/>
        <v>1494.23535924</v>
      </c>
      <c r="N27" s="127">
        <f t="shared" si="5"/>
        <v>1566.4069270912919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">
      <c r="A28" s="161"/>
      <c r="B28" s="12" t="s">
        <v>231</v>
      </c>
      <c r="C28" s="131"/>
      <c r="D28" s="131"/>
      <c r="E28" s="161"/>
      <c r="F28" s="13">
        <v>126</v>
      </c>
      <c r="G28" s="151" t="s">
        <v>232</v>
      </c>
      <c r="H28" s="135"/>
      <c r="I28" s="135"/>
      <c r="J28" s="131"/>
      <c r="K28" s="13" t="s">
        <v>210</v>
      </c>
      <c r="L28" s="28">
        <v>1642.4962499999999</v>
      </c>
      <c r="M28" s="126">
        <f t="shared" si="4"/>
        <v>1718.3795767499998</v>
      </c>
      <c r="N28" s="127">
        <f t="shared" si="5"/>
        <v>1801.3773103070248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">
      <c r="A29" s="114">
        <v>84</v>
      </c>
      <c r="B29" s="12" t="s">
        <v>233</v>
      </c>
      <c r="C29" s="13" t="s">
        <v>234</v>
      </c>
      <c r="D29" s="121">
        <v>1198.21</v>
      </c>
      <c r="E29" s="122">
        <f t="shared" ref="E29:E30" si="6">D29*K$12</f>
        <v>1256.083543</v>
      </c>
      <c r="F29" s="13">
        <v>127</v>
      </c>
      <c r="G29" s="151" t="s">
        <v>235</v>
      </c>
      <c r="H29" s="135"/>
      <c r="I29" s="135"/>
      <c r="J29" s="131"/>
      <c r="K29" s="13" t="s">
        <v>210</v>
      </c>
      <c r="L29" s="28">
        <v>2163.5688</v>
      </c>
      <c r="M29" s="126">
        <f t="shared" si="4"/>
        <v>2263.52567856</v>
      </c>
      <c r="N29" s="127">
        <f t="shared" si="5"/>
        <v>2372.8539688344481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">
      <c r="A30" s="176">
        <v>88</v>
      </c>
      <c r="B30" s="12" t="s">
        <v>236</v>
      </c>
      <c r="C30" s="145" t="s">
        <v>210</v>
      </c>
      <c r="D30" s="175">
        <v>1813.66</v>
      </c>
      <c r="E30" s="177">
        <f t="shared" si="6"/>
        <v>1901.2597780000001</v>
      </c>
      <c r="F30" s="13">
        <v>128</v>
      </c>
      <c r="G30" s="151" t="s">
        <v>237</v>
      </c>
      <c r="H30" s="135"/>
      <c r="I30" s="135"/>
      <c r="J30" s="131"/>
      <c r="K30" s="13" t="s">
        <v>210</v>
      </c>
      <c r="L30" s="28">
        <v>3595.4399999999996</v>
      </c>
      <c r="M30" s="126">
        <f t="shared" si="4"/>
        <v>3761.5493279999996</v>
      </c>
      <c r="N30" s="127">
        <f t="shared" si="5"/>
        <v>3943.2321605423995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">
      <c r="A31" s="163"/>
      <c r="B31" s="12" t="s">
        <v>238</v>
      </c>
      <c r="C31" s="133"/>
      <c r="D31" s="133"/>
      <c r="E31" s="163"/>
      <c r="F31" s="13">
        <v>129</v>
      </c>
      <c r="G31" s="151" t="s">
        <v>239</v>
      </c>
      <c r="H31" s="135"/>
      <c r="I31" s="135"/>
      <c r="J31" s="131"/>
      <c r="K31" s="13" t="s">
        <v>210</v>
      </c>
      <c r="L31" s="28">
        <v>9545.1583499999997</v>
      </c>
      <c r="M31" s="126">
        <f t="shared" si="4"/>
        <v>9986.1446657699998</v>
      </c>
      <c r="N31" s="127">
        <f t="shared" si="5"/>
        <v>10468.475453126692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">
      <c r="A32" s="161"/>
      <c r="B32" s="12" t="s">
        <v>240</v>
      </c>
      <c r="C32" s="131"/>
      <c r="D32" s="131"/>
      <c r="E32" s="161"/>
      <c r="F32" s="13">
        <v>130</v>
      </c>
      <c r="G32" s="151" t="s">
        <v>241</v>
      </c>
      <c r="H32" s="135"/>
      <c r="I32" s="135"/>
      <c r="J32" s="131"/>
      <c r="K32" s="13" t="s">
        <v>210</v>
      </c>
      <c r="L32" s="28">
        <v>1855.9967999999999</v>
      </c>
      <c r="M32" s="126">
        <f t="shared" si="4"/>
        <v>1941.74385216</v>
      </c>
      <c r="N32" s="127">
        <f t="shared" si="5"/>
        <v>2035.5300802193281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">
      <c r="A33" s="176">
        <v>85</v>
      </c>
      <c r="B33" s="12" t="s">
        <v>242</v>
      </c>
      <c r="C33" s="145" t="s">
        <v>223</v>
      </c>
      <c r="D33" s="175">
        <v>1298.68</v>
      </c>
      <c r="E33" s="177">
        <f>D33*K$12</f>
        <v>1361.406244</v>
      </c>
      <c r="F33" s="2" t="s">
        <v>243</v>
      </c>
      <c r="G33" s="2" t="s">
        <v>202</v>
      </c>
      <c r="H33" s="2"/>
      <c r="I33" s="2"/>
      <c r="J33" s="2"/>
      <c r="K33" s="2" t="s">
        <v>203</v>
      </c>
      <c r="L33" s="128">
        <v>1.0462</v>
      </c>
      <c r="M33" s="2"/>
      <c r="N33" s="129">
        <v>1.0483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">
      <c r="A34" s="163"/>
      <c r="B34" s="12" t="s">
        <v>244</v>
      </c>
      <c r="C34" s="131"/>
      <c r="D34" s="131"/>
      <c r="E34" s="161"/>
      <c r="F34" s="2"/>
      <c r="G34" s="2"/>
      <c r="H34" s="169"/>
      <c r="I34" s="134"/>
      <c r="J34" s="134"/>
      <c r="K34" s="2"/>
      <c r="L34" s="11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">
      <c r="A35" s="161"/>
      <c r="B35" s="12" t="s">
        <v>245</v>
      </c>
      <c r="C35" s="13" t="s">
        <v>223</v>
      </c>
      <c r="D35" s="121">
        <v>1298.68</v>
      </c>
      <c r="E35" s="122">
        <f t="shared" ref="E35:E43" si="7">D35*K$12</f>
        <v>1361.406244</v>
      </c>
      <c r="F35" s="22"/>
      <c r="G35" s="22"/>
      <c r="H35" s="22"/>
      <c r="I35" s="22"/>
      <c r="J35" s="22"/>
      <c r="K35" s="22"/>
      <c r="L35" s="2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5">
      <c r="A36" s="114">
        <v>83</v>
      </c>
      <c r="B36" s="12" t="s">
        <v>246</v>
      </c>
      <c r="C36" s="13" t="s">
        <v>247</v>
      </c>
      <c r="D36" s="121">
        <v>245.09</v>
      </c>
      <c r="E36" s="122">
        <f t="shared" si="7"/>
        <v>256.92784699999999</v>
      </c>
      <c r="F36" s="180" t="s">
        <v>43</v>
      </c>
      <c r="G36" s="135"/>
      <c r="H36" s="135"/>
      <c r="I36" s="135"/>
      <c r="J36" s="131"/>
      <c r="K36" s="180" t="s">
        <v>44</v>
      </c>
      <c r="L36" s="131"/>
      <c r="M36" s="125" t="s">
        <v>248</v>
      </c>
      <c r="N36" s="120" t="s">
        <v>208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5">
      <c r="A37" s="114">
        <v>82</v>
      </c>
      <c r="B37" s="12" t="s">
        <v>249</v>
      </c>
      <c r="C37" s="13" t="s">
        <v>234</v>
      </c>
      <c r="D37" s="121">
        <v>490.18</v>
      </c>
      <c r="E37" s="122">
        <f t="shared" si="7"/>
        <v>513.85569399999997</v>
      </c>
      <c r="F37" s="181" t="s">
        <v>24</v>
      </c>
      <c r="G37" s="135"/>
      <c r="H37" s="135"/>
      <c r="I37" s="135"/>
      <c r="J37" s="131"/>
      <c r="K37" s="182">
        <v>1541.0017499999999</v>
      </c>
      <c r="L37" s="131"/>
      <c r="M37" s="126">
        <f t="shared" ref="M37:M41" si="8">K37*$L$42</f>
        <v>1612.1960308499999</v>
      </c>
      <c r="N37" s="127">
        <f t="shared" ref="N37:N41" si="9">M37*N$33</f>
        <v>1690.0650991400551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5">
      <c r="A38" s="114">
        <v>95</v>
      </c>
      <c r="B38" s="12" t="s">
        <v>250</v>
      </c>
      <c r="C38" s="13" t="s">
        <v>210</v>
      </c>
      <c r="D38" s="121">
        <v>1051.1600000000001</v>
      </c>
      <c r="E38" s="122">
        <f t="shared" si="7"/>
        <v>1101.9310280000002</v>
      </c>
      <c r="F38" s="181" t="s">
        <v>251</v>
      </c>
      <c r="G38" s="135"/>
      <c r="H38" s="135"/>
      <c r="I38" s="135"/>
      <c r="J38" s="131"/>
      <c r="K38" s="182">
        <v>1541.0017499999999</v>
      </c>
      <c r="L38" s="131"/>
      <c r="M38" s="126">
        <f t="shared" si="8"/>
        <v>1612.1960308499999</v>
      </c>
      <c r="N38" s="127">
        <f t="shared" si="9"/>
        <v>1690.0650991400551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5">
      <c r="A39" s="114">
        <v>91</v>
      </c>
      <c r="B39" s="12" t="s">
        <v>252</v>
      </c>
      <c r="C39" s="13" t="s">
        <v>210</v>
      </c>
      <c r="D39" s="121">
        <v>1922.59</v>
      </c>
      <c r="E39" s="122">
        <f t="shared" si="7"/>
        <v>2015.4510969999999</v>
      </c>
      <c r="F39" s="181" t="s">
        <v>253</v>
      </c>
      <c r="G39" s="135"/>
      <c r="H39" s="135"/>
      <c r="I39" s="135"/>
      <c r="J39" s="131"/>
      <c r="K39" s="182">
        <v>1115.6088</v>
      </c>
      <c r="L39" s="131"/>
      <c r="M39" s="126">
        <f t="shared" si="8"/>
        <v>1167.14992656</v>
      </c>
      <c r="N39" s="127">
        <f t="shared" si="9"/>
        <v>1223.5232680128481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5">
      <c r="A40" s="114">
        <v>102</v>
      </c>
      <c r="B40" s="12" t="s">
        <v>254</v>
      </c>
      <c r="C40" s="13" t="s">
        <v>210</v>
      </c>
      <c r="D40" s="121">
        <v>1742.86</v>
      </c>
      <c r="E40" s="122">
        <f t="shared" si="7"/>
        <v>1827.0401379999998</v>
      </c>
      <c r="F40" s="181" t="s">
        <v>255</v>
      </c>
      <c r="G40" s="135"/>
      <c r="H40" s="135"/>
      <c r="I40" s="135"/>
      <c r="J40" s="131"/>
      <c r="K40" s="182">
        <v>818.15430000000003</v>
      </c>
      <c r="L40" s="131"/>
      <c r="M40" s="126">
        <f t="shared" si="8"/>
        <v>855.95302866000009</v>
      </c>
      <c r="N40" s="127">
        <f t="shared" si="9"/>
        <v>897.29555994427812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5">
      <c r="A41" s="114">
        <v>103</v>
      </c>
      <c r="B41" s="12" t="s">
        <v>256</v>
      </c>
      <c r="C41" s="13" t="s">
        <v>210</v>
      </c>
      <c r="D41" s="121">
        <v>1633.93</v>
      </c>
      <c r="E41" s="122">
        <f t="shared" si="7"/>
        <v>1712.848819</v>
      </c>
      <c r="F41" s="181" t="s">
        <v>257</v>
      </c>
      <c r="G41" s="135"/>
      <c r="H41" s="135"/>
      <c r="I41" s="135"/>
      <c r="J41" s="131"/>
      <c r="K41" s="182">
        <v>902.96024999999997</v>
      </c>
      <c r="L41" s="131"/>
      <c r="M41" s="126">
        <f t="shared" si="8"/>
        <v>944.67701354999997</v>
      </c>
      <c r="N41" s="127">
        <f t="shared" si="9"/>
        <v>990.304913304465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">
      <c r="A42" s="114">
        <v>104</v>
      </c>
      <c r="B42" s="12" t="s">
        <v>258</v>
      </c>
      <c r="C42" s="13" t="s">
        <v>210</v>
      </c>
      <c r="D42" s="121">
        <v>3535</v>
      </c>
      <c r="E42" s="122">
        <f t="shared" si="7"/>
        <v>3705.7404999999999</v>
      </c>
      <c r="F42" s="2" t="s">
        <v>243</v>
      </c>
      <c r="G42" s="2" t="s">
        <v>202</v>
      </c>
      <c r="H42" s="2"/>
      <c r="I42" s="2"/>
      <c r="J42" s="2"/>
      <c r="K42" s="2" t="s">
        <v>203</v>
      </c>
      <c r="L42" s="128">
        <v>1.0462</v>
      </c>
      <c r="M42" s="2"/>
      <c r="N42" s="129">
        <v>1.0483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">
      <c r="A43" s="114">
        <v>108</v>
      </c>
      <c r="B43" s="12" t="s">
        <v>259</v>
      </c>
      <c r="C43" s="13" t="s">
        <v>234</v>
      </c>
      <c r="D43" s="121">
        <v>502.23</v>
      </c>
      <c r="E43" s="122">
        <f t="shared" si="7"/>
        <v>526.487709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">
      <c r="A44" s="179" t="s">
        <v>260</v>
      </c>
      <c r="B44" s="134"/>
      <c r="C44" s="134"/>
      <c r="D44" s="134"/>
      <c r="E44" s="134"/>
      <c r="F44" s="2"/>
      <c r="G44" s="2"/>
      <c r="H44" s="2"/>
      <c r="I44" s="2"/>
      <c r="J44" s="2"/>
      <c r="K44" s="2"/>
      <c r="L44" s="2"/>
      <c r="M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">
      <c r="A45" s="2"/>
      <c r="B45" s="2"/>
      <c r="C45" s="2"/>
      <c r="D45" s="2"/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">
      <c r="A46" s="2"/>
      <c r="B46" s="2"/>
      <c r="C46" s="2"/>
      <c r="D46" s="2"/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2"/>
      <c r="C47" s="2"/>
      <c r="D47" s="2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2"/>
      <c r="C48" s="2"/>
      <c r="D48" s="2"/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2"/>
      <c r="C49" s="2"/>
      <c r="D49" s="2"/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2"/>
      <c r="C50" s="2"/>
      <c r="D50" s="2"/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2"/>
      <c r="C51" s="2"/>
      <c r="D51" s="2"/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2"/>
      <c r="C52" s="2"/>
      <c r="D52" s="2"/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2"/>
      <c r="C53" s="2"/>
      <c r="D53" s="2"/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2"/>
      <c r="C54" s="2"/>
      <c r="D54" s="2"/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B55" s="2"/>
      <c r="C55" s="2"/>
      <c r="D55" s="2"/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2"/>
      <c r="B56" s="2"/>
      <c r="C56" s="2"/>
      <c r="D56" s="2"/>
      <c r="E56" s="1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>
      <c r="A57" s="2"/>
      <c r="B57" s="2"/>
      <c r="C57" s="2"/>
      <c r="D57" s="2"/>
      <c r="E57" s="1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/>
      <c r="C58" s="2"/>
      <c r="D58" s="2"/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/>
      <c r="C59" s="2"/>
      <c r="D59" s="2"/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/>
      <c r="C60" s="2"/>
      <c r="D60" s="2"/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1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1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11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11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11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11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11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11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11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11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11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11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11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11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11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11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11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11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11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11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11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11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11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11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11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11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1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11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11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11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11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11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11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11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11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11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11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11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11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11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11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11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11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11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11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11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11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11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11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11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11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11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11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11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11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11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11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11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11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11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11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11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11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11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11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11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11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11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11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11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11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11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11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11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11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11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11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11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11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11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11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11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11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11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11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11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11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11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11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11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11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11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1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11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1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11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11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11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11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11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11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11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11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11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11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11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1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11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11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1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1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11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11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11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11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1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1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11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11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1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11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11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11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11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11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11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11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11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1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11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11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11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11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11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11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11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11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11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11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11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11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11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11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11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11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11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11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11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11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11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11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11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11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11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11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11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11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11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11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11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11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11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11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11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11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11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11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11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11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11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11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11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11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11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11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11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11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11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11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11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11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11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11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11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11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1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11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11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11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11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11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11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11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11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11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11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11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11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11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111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11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11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11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11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11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11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11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11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11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11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11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11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11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11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11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11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11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11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11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11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11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11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11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11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11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11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11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11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11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11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11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11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11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11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11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11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11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11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11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11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11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11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11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11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11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11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11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11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11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11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11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11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11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11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11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11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11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11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11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11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11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11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1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11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11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11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11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11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11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11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11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11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11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11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11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11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11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11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11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11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11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11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11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11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11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11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11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11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11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11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111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11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11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11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11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11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111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11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11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11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111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11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11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11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11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11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11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111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11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11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11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11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11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11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11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11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11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111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11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111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11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111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11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11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11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111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111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11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11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11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11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11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11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11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11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11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11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11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11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11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11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11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11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11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111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11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11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11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11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11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11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11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11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11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11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11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11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11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11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11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11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11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1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11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11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11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11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11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111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11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11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11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11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11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11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111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11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11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11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11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111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11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11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11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11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11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11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11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11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11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11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11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11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11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11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11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11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11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111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11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11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11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11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11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11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11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11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11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11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111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11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11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11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11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11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11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11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11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11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11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11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11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11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11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11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11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11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11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11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11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11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11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11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11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11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11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11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11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11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11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11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111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11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11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11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11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11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11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11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11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11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11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11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11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11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11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11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11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11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11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111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11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1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11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11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11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11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11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11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11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11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11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11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11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11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11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111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11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111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11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11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111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11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111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11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11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111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111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111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11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111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11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11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11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111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11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111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11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111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11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111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11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11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11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111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11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11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111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11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111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11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11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11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111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11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111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11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111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11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11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111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111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11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11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11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111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11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111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11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11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111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11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11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11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111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11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111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11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11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11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111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111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111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111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111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111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111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111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111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111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111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111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111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111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74">
    <mergeCell ref="F24:L24"/>
    <mergeCell ref="G25:J25"/>
    <mergeCell ref="G26:J26"/>
    <mergeCell ref="G27:J27"/>
    <mergeCell ref="G28:J28"/>
    <mergeCell ref="G18:J18"/>
    <mergeCell ref="G19:J19"/>
    <mergeCell ref="H21:J21"/>
    <mergeCell ref="H22:J22"/>
    <mergeCell ref="A14:D14"/>
    <mergeCell ref="B15:D15"/>
    <mergeCell ref="G16:J16"/>
    <mergeCell ref="G17:J17"/>
    <mergeCell ref="F18:F19"/>
    <mergeCell ref="A19:A20"/>
    <mergeCell ref="E19:E20"/>
    <mergeCell ref="G20:J20"/>
    <mergeCell ref="A6:L6"/>
    <mergeCell ref="A8:L8"/>
    <mergeCell ref="J10:J11"/>
    <mergeCell ref="K10:K11"/>
    <mergeCell ref="L10:L11"/>
    <mergeCell ref="C10:C11"/>
    <mergeCell ref="D10:D11"/>
    <mergeCell ref="E10:E11"/>
    <mergeCell ref="F10:F11"/>
    <mergeCell ref="G10:G11"/>
    <mergeCell ref="H10:H11"/>
    <mergeCell ref="I10:I11"/>
    <mergeCell ref="A1:L1"/>
    <mergeCell ref="A2:L2"/>
    <mergeCell ref="A3:L3"/>
    <mergeCell ref="A4:L4"/>
    <mergeCell ref="A5:L5"/>
    <mergeCell ref="K36:L36"/>
    <mergeCell ref="F40:J40"/>
    <mergeCell ref="F41:J41"/>
    <mergeCell ref="K41:L41"/>
    <mergeCell ref="F37:J37"/>
    <mergeCell ref="K37:L37"/>
    <mergeCell ref="F38:J38"/>
    <mergeCell ref="K38:L38"/>
    <mergeCell ref="F39:J39"/>
    <mergeCell ref="K39:L39"/>
    <mergeCell ref="K40:L40"/>
    <mergeCell ref="A30:A32"/>
    <mergeCell ref="A33:A35"/>
    <mergeCell ref="A44:E44"/>
    <mergeCell ref="G29:J29"/>
    <mergeCell ref="G30:J30"/>
    <mergeCell ref="G31:J31"/>
    <mergeCell ref="G32:J32"/>
    <mergeCell ref="H34:J34"/>
    <mergeCell ref="F36:J36"/>
    <mergeCell ref="D30:D32"/>
    <mergeCell ref="E30:E32"/>
    <mergeCell ref="A24:A25"/>
    <mergeCell ref="A26:A28"/>
    <mergeCell ref="C26:C28"/>
    <mergeCell ref="D26:D28"/>
    <mergeCell ref="E26:E28"/>
    <mergeCell ref="C24:C25"/>
    <mergeCell ref="D24:D25"/>
    <mergeCell ref="E21:E22"/>
    <mergeCell ref="E24:E25"/>
    <mergeCell ref="C30:C32"/>
    <mergeCell ref="C33:C34"/>
    <mergeCell ref="D33:D34"/>
    <mergeCell ref="E33:E34"/>
    <mergeCell ref="C19:C20"/>
    <mergeCell ref="D19:D20"/>
    <mergeCell ref="A21:A22"/>
    <mergeCell ref="C21:C22"/>
    <mergeCell ref="D21:D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COMISSIONADOS</vt:lpstr>
      <vt:lpstr>QUADRO EFETIVOS</vt:lpstr>
      <vt:lpstr>QUADRO MAGISTÉRIO</vt:lpstr>
      <vt:lpstr>OUTROS QUADROS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stda</cp:lastModifiedBy>
  <dcterms:modified xsi:type="dcterms:W3CDTF">2025-05-08T18:30:17Z</dcterms:modified>
</cp:coreProperties>
</file>